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wallis\OneDrive - DAI\3. Jobs\CW 188004 COI Hydromet\7. Deliverables\DAI Submission 19th March\"/>
    </mc:Choice>
  </mc:AlternateContent>
  <xr:revisionPtr revIDLastSave="0" documentId="13_ncr:1_{DE3EBAC9-37F0-415C-85F4-F10419057801}" xr6:coauthVersionLast="36" xr6:coauthVersionMax="45" xr10:uidLastSave="{00000000-0000-0000-0000-000000000000}"/>
  <bookViews>
    <workbookView xWindow="-28920" yWindow="-1140" windowWidth="29040" windowHeight="15840" tabRatio="787" firstSheet="1" activeTab="2" xr2:uid="{6C053A4F-9454-4D7E-A99A-4133015B8DCC}"/>
  </bookViews>
  <sheets>
    <sheet name="Presentation" sheetId="22" r:id="rId1"/>
    <sheet name="Resume" sheetId="23" r:id="rId2"/>
    <sheet name="1-CBA" sheetId="16" r:id="rId3"/>
    <sheet name="2-Benefits - EWS" sheetId="15" r:id="rId4"/>
    <sheet name="3-benefits - Agric. Sector" sheetId="17" r:id="rId5"/>
    <sheet name="4-CBA Sensitivity Analysis" sheetId="19" r:id="rId6"/>
    <sheet name="5-National budgets" sheetId="24" r:id="rId7"/>
    <sheet name="6-Investments" sheetId="25" r:id="rId8"/>
  </sheets>
  <definedNames>
    <definedName name="Durée_de_vie__an">'6-Investments'!$E$4:$E$134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24" l="1"/>
  <c r="E12" i="24" s="1"/>
  <c r="D13" i="24"/>
  <c r="E13" i="24"/>
  <c r="E30" i="24" s="1"/>
  <c r="D14" i="24"/>
  <c r="D31" i="24" s="1"/>
  <c r="D15" i="24"/>
  <c r="D32" i="24" s="1"/>
  <c r="C16" i="24"/>
  <c r="C20" i="24"/>
  <c r="D20" i="24"/>
  <c r="D29" i="24" s="1"/>
  <c r="E20" i="24"/>
  <c r="C21" i="24"/>
  <c r="D21" i="24"/>
  <c r="E21" i="24"/>
  <c r="C22" i="24"/>
  <c r="D22" i="24"/>
  <c r="E22" i="24"/>
  <c r="C23" i="24"/>
  <c r="D23" i="24"/>
  <c r="E23" i="24"/>
  <c r="D30" i="24"/>
  <c r="B13" i="19"/>
  <c r="C13" i="19"/>
  <c r="D13" i="19"/>
  <c r="E13" i="19"/>
  <c r="F13" i="19"/>
  <c r="G13" i="19"/>
  <c r="H13" i="19"/>
  <c r="D16" i="24" l="1"/>
  <c r="C30" i="24"/>
  <c r="E15" i="24"/>
  <c r="E32" i="24" s="1"/>
  <c r="C32" i="24" s="1"/>
  <c r="E14" i="24"/>
  <c r="E31" i="24" s="1"/>
  <c r="C31" i="24" s="1"/>
  <c r="D33" i="24"/>
  <c r="E29" i="24"/>
  <c r="E16" i="24" l="1"/>
  <c r="E33" i="24"/>
  <c r="C29" i="24"/>
  <c r="C33" i="24" s="1"/>
  <c r="E122" i="17" l="1"/>
  <c r="F122" i="17" s="1"/>
  <c r="L109" i="17"/>
  <c r="M109" i="17" s="1"/>
  <c r="E107" i="17"/>
  <c r="F107" i="17" s="1"/>
  <c r="L71" i="17"/>
  <c r="M71" i="17" s="1"/>
  <c r="E75" i="17"/>
  <c r="F75" i="17" s="1"/>
  <c r="L62" i="17"/>
  <c r="M62" i="17" s="1"/>
  <c r="E60" i="17"/>
  <c r="F60" i="17" s="1"/>
  <c r="E58" i="17"/>
  <c r="F58" i="17" s="1"/>
  <c r="F140" i="17"/>
  <c r="E140" i="17"/>
  <c r="D140" i="17"/>
  <c r="F131" i="17"/>
  <c r="E131" i="17"/>
  <c r="D131" i="17"/>
  <c r="C131" i="17"/>
  <c r="K123" i="17"/>
  <c r="L123" i="17" s="1"/>
  <c r="M123" i="17" s="1"/>
  <c r="D123" i="17"/>
  <c r="E123" i="17" s="1"/>
  <c r="F123" i="17" s="1"/>
  <c r="C123" i="17"/>
  <c r="K122" i="17"/>
  <c r="L122" i="17" s="1"/>
  <c r="M122" i="17" s="1"/>
  <c r="C122" i="17"/>
  <c r="D122" i="17" s="1"/>
  <c r="K121" i="17"/>
  <c r="L121" i="17" s="1"/>
  <c r="M121" i="17" s="1"/>
  <c r="C121" i="17"/>
  <c r="D121" i="17" s="1"/>
  <c r="E121" i="17" s="1"/>
  <c r="F121" i="17" s="1"/>
  <c r="K120" i="17"/>
  <c r="L120" i="17" s="1"/>
  <c r="M120" i="17" s="1"/>
  <c r="C120" i="17"/>
  <c r="D120" i="17" s="1"/>
  <c r="E120" i="17" s="1"/>
  <c r="F120" i="17" s="1"/>
  <c r="K119" i="17"/>
  <c r="L119" i="17" s="1"/>
  <c r="M119" i="17" s="1"/>
  <c r="D119" i="17"/>
  <c r="E119" i="17" s="1"/>
  <c r="F119" i="17" s="1"/>
  <c r="C119" i="17"/>
  <c r="K118" i="17"/>
  <c r="K124" i="17" s="1"/>
  <c r="K125" i="17" s="1"/>
  <c r="C118" i="17"/>
  <c r="D118" i="17" s="1"/>
  <c r="E118" i="17" s="1"/>
  <c r="F118" i="17" s="1"/>
  <c r="J110" i="17"/>
  <c r="K110" i="17" s="1"/>
  <c r="L110" i="17" s="1"/>
  <c r="M110" i="17" s="1"/>
  <c r="D110" i="17"/>
  <c r="E110" i="17" s="1"/>
  <c r="F110" i="17" s="1"/>
  <c r="K109" i="17"/>
  <c r="J109" i="17"/>
  <c r="D109" i="17"/>
  <c r="E109" i="17" s="1"/>
  <c r="F109" i="17" s="1"/>
  <c r="J108" i="17"/>
  <c r="K108" i="17" s="1"/>
  <c r="L108" i="17" s="1"/>
  <c r="M108" i="17" s="1"/>
  <c r="D108" i="17"/>
  <c r="E108" i="17" s="1"/>
  <c r="F108" i="17" s="1"/>
  <c r="J107" i="17"/>
  <c r="K107" i="17" s="1"/>
  <c r="L107" i="17" s="1"/>
  <c r="M107" i="17" s="1"/>
  <c r="D107" i="17"/>
  <c r="J106" i="17"/>
  <c r="K106" i="17" s="1"/>
  <c r="L106" i="17" s="1"/>
  <c r="M106" i="17" s="1"/>
  <c r="D106" i="17"/>
  <c r="E106" i="17" s="1"/>
  <c r="F106" i="17" s="1"/>
  <c r="K105" i="17"/>
  <c r="L105" i="17" s="1"/>
  <c r="M105" i="17" s="1"/>
  <c r="J105" i="17"/>
  <c r="D105" i="17"/>
  <c r="E105" i="17" s="1"/>
  <c r="F105" i="17" s="1"/>
  <c r="F92" i="17"/>
  <c r="E92" i="17"/>
  <c r="D92" i="17"/>
  <c r="F83" i="17"/>
  <c r="E83" i="17"/>
  <c r="D83" i="17"/>
  <c r="C83" i="17"/>
  <c r="K75" i="17"/>
  <c r="L75" i="17" s="1"/>
  <c r="M75" i="17" s="1"/>
  <c r="C75" i="17"/>
  <c r="D75" i="17" s="1"/>
  <c r="K74" i="17"/>
  <c r="L74" i="17" s="1"/>
  <c r="M74" i="17" s="1"/>
  <c r="C74" i="17"/>
  <c r="D74" i="17" s="1"/>
  <c r="E74" i="17" s="1"/>
  <c r="F74" i="17" s="1"/>
  <c r="K73" i="17"/>
  <c r="L73" i="17" s="1"/>
  <c r="M73" i="17" s="1"/>
  <c r="C73" i="17"/>
  <c r="D73" i="17" s="1"/>
  <c r="E73" i="17" s="1"/>
  <c r="F73" i="17" s="1"/>
  <c r="K72" i="17"/>
  <c r="L72" i="17" s="1"/>
  <c r="M72" i="17" s="1"/>
  <c r="C72" i="17"/>
  <c r="D72" i="17" s="1"/>
  <c r="E72" i="17" s="1"/>
  <c r="F72" i="17" s="1"/>
  <c r="K71" i="17"/>
  <c r="C71" i="17"/>
  <c r="D71" i="17" s="1"/>
  <c r="E71" i="17" s="1"/>
  <c r="F71" i="17" s="1"/>
  <c r="K70" i="17"/>
  <c r="L70" i="17" s="1"/>
  <c r="M70" i="17" s="1"/>
  <c r="D70" i="17"/>
  <c r="E70" i="17" s="1"/>
  <c r="F70" i="17" s="1"/>
  <c r="C70" i="17"/>
  <c r="J62" i="17"/>
  <c r="K62" i="17" s="1"/>
  <c r="D62" i="17"/>
  <c r="E62" i="17" s="1"/>
  <c r="F62" i="17" s="1"/>
  <c r="J61" i="17"/>
  <c r="K61" i="17" s="1"/>
  <c r="L61" i="17" s="1"/>
  <c r="M61" i="17" s="1"/>
  <c r="D61" i="17"/>
  <c r="E61" i="17" s="1"/>
  <c r="F61" i="17" s="1"/>
  <c r="K60" i="17"/>
  <c r="L60" i="17" s="1"/>
  <c r="M60" i="17" s="1"/>
  <c r="J60" i="17"/>
  <c r="D60" i="17"/>
  <c r="J59" i="17"/>
  <c r="K59" i="17" s="1"/>
  <c r="L59" i="17" s="1"/>
  <c r="M59" i="17" s="1"/>
  <c r="D59" i="17"/>
  <c r="E59" i="17" s="1"/>
  <c r="F59" i="17" s="1"/>
  <c r="J58" i="17"/>
  <c r="K58" i="17" s="1"/>
  <c r="L58" i="17" s="1"/>
  <c r="M58" i="17" s="1"/>
  <c r="D58" i="17"/>
  <c r="J57" i="17"/>
  <c r="K57" i="17" s="1"/>
  <c r="L57" i="17" s="1"/>
  <c r="M57" i="17" s="1"/>
  <c r="D57" i="17"/>
  <c r="E57" i="17" s="1"/>
  <c r="F57" i="17" s="1"/>
  <c r="AI119" i="25"/>
  <c r="AY119" i="25" s="1"/>
  <c r="AH119" i="25"/>
  <c r="AX119" i="25" s="1"/>
  <c r="AG119" i="25"/>
  <c r="AW119" i="25" s="1"/>
  <c r="AF119" i="25"/>
  <c r="AV119" i="25" s="1"/>
  <c r="BL119" i="25" s="1"/>
  <c r="AE119" i="25"/>
  <c r="AU119" i="25" s="1"/>
  <c r="BK119" i="25" s="1"/>
  <c r="AI86" i="25"/>
  <c r="AY86" i="25" s="1"/>
  <c r="AH86" i="25"/>
  <c r="AX86" i="25" s="1"/>
  <c r="AG86" i="25"/>
  <c r="AW86" i="25" s="1"/>
  <c r="AF86" i="25"/>
  <c r="AV86" i="25" s="1"/>
  <c r="BL86" i="25" s="1"/>
  <c r="AE86" i="25"/>
  <c r="AU86" i="25" s="1"/>
  <c r="BK86" i="25" s="1"/>
  <c r="AX53" i="25"/>
  <c r="AI53" i="25"/>
  <c r="AY53" i="25" s="1"/>
  <c r="AH53" i="25"/>
  <c r="AG53" i="25"/>
  <c r="AW53" i="25" s="1"/>
  <c r="AF53" i="25"/>
  <c r="AV53" i="25" s="1"/>
  <c r="BL53" i="25" s="1"/>
  <c r="AE53" i="25"/>
  <c r="AU53" i="25" s="1"/>
  <c r="BK53" i="25" s="1"/>
  <c r="AI19" i="25"/>
  <c r="AY19" i="25" s="1"/>
  <c r="AH19" i="25"/>
  <c r="AX19" i="25" s="1"/>
  <c r="AG19" i="25"/>
  <c r="AW19" i="25" s="1"/>
  <c r="AF19" i="25"/>
  <c r="AV19" i="25" s="1"/>
  <c r="BL19" i="25" s="1"/>
  <c r="AE19" i="25"/>
  <c r="AU19" i="25" s="1"/>
  <c r="BK19" i="25" s="1"/>
  <c r="AN120" i="25"/>
  <c r="BH120" i="25" s="1"/>
  <c r="AM120" i="25"/>
  <c r="BG120" i="25" s="1"/>
  <c r="AL120" i="25"/>
  <c r="BF120" i="25" s="1"/>
  <c r="AK120" i="25"/>
  <c r="BE120" i="25" s="1"/>
  <c r="AJ120" i="25"/>
  <c r="BD120" i="25" s="1"/>
  <c r="AN87" i="25"/>
  <c r="BH87" i="25" s="1"/>
  <c r="AM87" i="25"/>
  <c r="BG87" i="25" s="1"/>
  <c r="AL87" i="25"/>
  <c r="BF87" i="25" s="1"/>
  <c r="AK87" i="25"/>
  <c r="BE87" i="25" s="1"/>
  <c r="AJ87" i="25"/>
  <c r="BD87" i="25" s="1"/>
  <c r="AN54" i="25"/>
  <c r="BH54" i="25" s="1"/>
  <c r="AM54" i="25"/>
  <c r="BG54" i="25" s="1"/>
  <c r="AL54" i="25"/>
  <c r="BF54" i="25" s="1"/>
  <c r="AK54" i="25"/>
  <c r="BE54" i="25" s="1"/>
  <c r="AJ54" i="25"/>
  <c r="BD54" i="25" s="1"/>
  <c r="AN20" i="25"/>
  <c r="BH20" i="25" s="1"/>
  <c r="AM20" i="25"/>
  <c r="BG20" i="25" s="1"/>
  <c r="AL20" i="25"/>
  <c r="BF20" i="25" s="1"/>
  <c r="AK20" i="25"/>
  <c r="BE20" i="25" s="1"/>
  <c r="AJ20" i="25"/>
  <c r="BD20" i="25" s="1"/>
  <c r="AN17" i="25"/>
  <c r="BH17" i="25" s="1"/>
  <c r="AM17" i="25"/>
  <c r="BG17" i="25" s="1"/>
  <c r="AL17" i="25"/>
  <c r="BF17" i="25" s="1"/>
  <c r="AK17" i="25"/>
  <c r="BE17" i="25" s="1"/>
  <c r="AJ17" i="25"/>
  <c r="BD17" i="25" s="1"/>
  <c r="AA116" i="25"/>
  <c r="AH116" i="25" s="1"/>
  <c r="Y116" i="25"/>
  <c r="AF116" i="25" s="1"/>
  <c r="AM116" i="25" s="1"/>
  <c r="X116" i="25"/>
  <c r="W116" i="25"/>
  <c r="AD116" i="25" s="1"/>
  <c r="AK116" i="25" s="1"/>
  <c r="AR116" i="25" s="1"/>
  <c r="V116" i="25"/>
  <c r="AC116" i="25" s="1"/>
  <c r="U116" i="25"/>
  <c r="AB116" i="25" s="1"/>
  <c r="AI116" i="25" s="1"/>
  <c r="AP116" i="25" s="1"/>
  <c r="AW116" i="25" s="1"/>
  <c r="AA83" i="25"/>
  <c r="AH83" i="25" s="1"/>
  <c r="Y83" i="25"/>
  <c r="AF83" i="25" s="1"/>
  <c r="AM83" i="25" s="1"/>
  <c r="X83" i="25"/>
  <c r="W83" i="25"/>
  <c r="AD83" i="25" s="1"/>
  <c r="AK83" i="25" s="1"/>
  <c r="AR83" i="25" s="1"/>
  <c r="V83" i="25"/>
  <c r="AC83" i="25" s="1"/>
  <c r="U83" i="25"/>
  <c r="AB83" i="25" s="1"/>
  <c r="AI83" i="25" s="1"/>
  <c r="AP83" i="25" s="1"/>
  <c r="AW83" i="25" s="1"/>
  <c r="AH49" i="25"/>
  <c r="AA49" i="25"/>
  <c r="Y49" i="25"/>
  <c r="AF49" i="25" s="1"/>
  <c r="AM49" i="25" s="1"/>
  <c r="X49" i="25"/>
  <c r="W49" i="25"/>
  <c r="AD49" i="25" s="1"/>
  <c r="AK49" i="25" s="1"/>
  <c r="AR49" i="25" s="1"/>
  <c r="V49" i="25"/>
  <c r="AC49" i="25" s="1"/>
  <c r="U49" i="25"/>
  <c r="AB49" i="25" s="1"/>
  <c r="AI49" i="25" s="1"/>
  <c r="AP49" i="25" s="1"/>
  <c r="AW49" i="25" s="1"/>
  <c r="AA16" i="25"/>
  <c r="AH16" i="25" s="1"/>
  <c r="AH137" i="25" s="1"/>
  <c r="W14" i="16" s="1"/>
  <c r="AE134" i="25"/>
  <c r="AQ134" i="25" s="1"/>
  <c r="BC134" i="25" s="1"/>
  <c r="AD134" i="25"/>
  <c r="AP134" i="25" s="1"/>
  <c r="BB134" i="25" s="1"/>
  <c r="AC134" i="25"/>
  <c r="AO134" i="25" s="1"/>
  <c r="BA134" i="25" s="1"/>
  <c r="AB134" i="25"/>
  <c r="AN134" i="25" s="1"/>
  <c r="AZ134" i="25" s="1"/>
  <c r="BL134" i="25" s="1"/>
  <c r="AA134" i="25"/>
  <c r="AM134" i="25" s="1"/>
  <c r="AY134" i="25" s="1"/>
  <c r="BK134" i="25" s="1"/>
  <c r="AE133" i="25"/>
  <c r="AQ133" i="25" s="1"/>
  <c r="BC133" i="25" s="1"/>
  <c r="AD133" i="25"/>
  <c r="AP133" i="25" s="1"/>
  <c r="BB133" i="25" s="1"/>
  <c r="AC133" i="25"/>
  <c r="AO133" i="25" s="1"/>
  <c r="BA133" i="25" s="1"/>
  <c r="AB133" i="25"/>
  <c r="AN133" i="25" s="1"/>
  <c r="AZ133" i="25" s="1"/>
  <c r="BL133" i="25" s="1"/>
  <c r="AA133" i="25"/>
  <c r="AM133" i="25" s="1"/>
  <c r="AY133" i="25" s="1"/>
  <c r="BK133" i="25" s="1"/>
  <c r="AE131" i="25"/>
  <c r="AQ131" i="25" s="1"/>
  <c r="BC131" i="25" s="1"/>
  <c r="AD131" i="25"/>
  <c r="AP131" i="25" s="1"/>
  <c r="BB131" i="25" s="1"/>
  <c r="AC131" i="25"/>
  <c r="AO131" i="25" s="1"/>
  <c r="BA131" i="25" s="1"/>
  <c r="AB131" i="25"/>
  <c r="AN131" i="25" s="1"/>
  <c r="AZ131" i="25" s="1"/>
  <c r="BL131" i="25" s="1"/>
  <c r="AA131" i="25"/>
  <c r="AM131" i="25" s="1"/>
  <c r="AY131" i="25" s="1"/>
  <c r="BK131" i="25" s="1"/>
  <c r="AE130" i="25"/>
  <c r="AQ130" i="25" s="1"/>
  <c r="BC130" i="25" s="1"/>
  <c r="AD130" i="25"/>
  <c r="AP130" i="25" s="1"/>
  <c r="BB130" i="25" s="1"/>
  <c r="AC130" i="25"/>
  <c r="AO130" i="25" s="1"/>
  <c r="BA130" i="25" s="1"/>
  <c r="AB130" i="25"/>
  <c r="AN130" i="25" s="1"/>
  <c r="AZ130" i="25" s="1"/>
  <c r="BL130" i="25" s="1"/>
  <c r="AA130" i="25"/>
  <c r="AM130" i="25" s="1"/>
  <c r="AY130" i="25" s="1"/>
  <c r="BK130" i="25" s="1"/>
  <c r="AE128" i="25"/>
  <c r="AQ128" i="25" s="1"/>
  <c r="BC128" i="25" s="1"/>
  <c r="AD128" i="25"/>
  <c r="AP128" i="25" s="1"/>
  <c r="BB128" i="25" s="1"/>
  <c r="AC128" i="25"/>
  <c r="AO128" i="25" s="1"/>
  <c r="BA128" i="25" s="1"/>
  <c r="AB128" i="25"/>
  <c r="AN128" i="25" s="1"/>
  <c r="AZ128" i="25" s="1"/>
  <c r="BL128" i="25" s="1"/>
  <c r="AA128" i="25"/>
  <c r="AM128" i="25" s="1"/>
  <c r="AY128" i="25" s="1"/>
  <c r="BK128" i="25" s="1"/>
  <c r="AP127" i="25"/>
  <c r="BB127" i="25" s="1"/>
  <c r="AE127" i="25"/>
  <c r="AQ127" i="25" s="1"/>
  <c r="BC127" i="25" s="1"/>
  <c r="AD127" i="25"/>
  <c r="AC127" i="25"/>
  <c r="AO127" i="25" s="1"/>
  <c r="BA127" i="25" s="1"/>
  <c r="AB127" i="25"/>
  <c r="AN127" i="25" s="1"/>
  <c r="AZ127" i="25" s="1"/>
  <c r="BL127" i="25" s="1"/>
  <c r="AA127" i="25"/>
  <c r="AM127" i="25" s="1"/>
  <c r="AY127" i="25" s="1"/>
  <c r="BK127" i="25" s="1"/>
  <c r="AE126" i="25"/>
  <c r="AQ126" i="25" s="1"/>
  <c r="BC126" i="25" s="1"/>
  <c r="AD126" i="25"/>
  <c r="AP126" i="25" s="1"/>
  <c r="BB126" i="25" s="1"/>
  <c r="AC126" i="25"/>
  <c r="AO126" i="25" s="1"/>
  <c r="BA126" i="25" s="1"/>
  <c r="AB126" i="25"/>
  <c r="AN126" i="25" s="1"/>
  <c r="AZ126" i="25" s="1"/>
  <c r="BL126" i="25" s="1"/>
  <c r="AA126" i="25"/>
  <c r="AM126" i="25" s="1"/>
  <c r="AY126" i="25" s="1"/>
  <c r="BK126" i="25" s="1"/>
  <c r="AE125" i="25"/>
  <c r="AQ125" i="25" s="1"/>
  <c r="BC125" i="25" s="1"/>
  <c r="AD125" i="25"/>
  <c r="AP125" i="25" s="1"/>
  <c r="BB125" i="25" s="1"/>
  <c r="AC125" i="25"/>
  <c r="AO125" i="25" s="1"/>
  <c r="BA125" i="25" s="1"/>
  <c r="AB125" i="25"/>
  <c r="AN125" i="25" s="1"/>
  <c r="AZ125" i="25" s="1"/>
  <c r="BL125" i="25" s="1"/>
  <c r="AA125" i="25"/>
  <c r="AM125" i="25" s="1"/>
  <c r="AY125" i="25" s="1"/>
  <c r="BK125" i="25" s="1"/>
  <c r="AE124" i="25"/>
  <c r="AQ124" i="25" s="1"/>
  <c r="BC124" i="25" s="1"/>
  <c r="AD124" i="25"/>
  <c r="AP124" i="25" s="1"/>
  <c r="BB124" i="25" s="1"/>
  <c r="AC124" i="25"/>
  <c r="AO124" i="25" s="1"/>
  <c r="BA124" i="25" s="1"/>
  <c r="AB124" i="25"/>
  <c r="AN124" i="25" s="1"/>
  <c r="AZ124" i="25" s="1"/>
  <c r="BL124" i="25" s="1"/>
  <c r="AA124" i="25"/>
  <c r="AM124" i="25" s="1"/>
  <c r="AY124" i="25" s="1"/>
  <c r="BK124" i="25" s="1"/>
  <c r="AE118" i="25"/>
  <c r="AQ118" i="25" s="1"/>
  <c r="BC118" i="25" s="1"/>
  <c r="AD118" i="25"/>
  <c r="AP118" i="25" s="1"/>
  <c r="BB118" i="25" s="1"/>
  <c r="AC118" i="25"/>
  <c r="AO118" i="25" s="1"/>
  <c r="BA118" i="25" s="1"/>
  <c r="AB118" i="25"/>
  <c r="AN118" i="25" s="1"/>
  <c r="AZ118" i="25" s="1"/>
  <c r="BL118" i="25" s="1"/>
  <c r="AA118" i="25"/>
  <c r="AM118" i="25" s="1"/>
  <c r="AY118" i="25" s="1"/>
  <c r="BK118" i="25" s="1"/>
  <c r="AE115" i="25"/>
  <c r="AQ115" i="25" s="1"/>
  <c r="BC115" i="25" s="1"/>
  <c r="AD115" i="25"/>
  <c r="AP115" i="25" s="1"/>
  <c r="BB115" i="25" s="1"/>
  <c r="AC115" i="25"/>
  <c r="AO115" i="25" s="1"/>
  <c r="BA115" i="25" s="1"/>
  <c r="AB115" i="25"/>
  <c r="AN115" i="25" s="1"/>
  <c r="AZ115" i="25" s="1"/>
  <c r="BL115" i="25" s="1"/>
  <c r="AA115" i="25"/>
  <c r="AM115" i="25" s="1"/>
  <c r="AY115" i="25" s="1"/>
  <c r="BK115" i="25" s="1"/>
  <c r="AE114" i="25"/>
  <c r="AQ114" i="25" s="1"/>
  <c r="BC114" i="25" s="1"/>
  <c r="AD114" i="25"/>
  <c r="AP114" i="25" s="1"/>
  <c r="BB114" i="25" s="1"/>
  <c r="AC114" i="25"/>
  <c r="AO114" i="25" s="1"/>
  <c r="BA114" i="25" s="1"/>
  <c r="AB114" i="25"/>
  <c r="AN114" i="25" s="1"/>
  <c r="AZ114" i="25" s="1"/>
  <c r="BL114" i="25" s="1"/>
  <c r="AA114" i="25"/>
  <c r="AM114" i="25" s="1"/>
  <c r="AY114" i="25" s="1"/>
  <c r="BK114" i="25" s="1"/>
  <c r="AP113" i="25"/>
  <c r="BB113" i="25" s="1"/>
  <c r="AE113" i="25"/>
  <c r="AQ113" i="25" s="1"/>
  <c r="BC113" i="25" s="1"/>
  <c r="AD113" i="25"/>
  <c r="AC113" i="25"/>
  <c r="AO113" i="25" s="1"/>
  <c r="BA113" i="25" s="1"/>
  <c r="AB113" i="25"/>
  <c r="AN113" i="25" s="1"/>
  <c r="AZ113" i="25" s="1"/>
  <c r="BL113" i="25" s="1"/>
  <c r="AA113" i="25"/>
  <c r="AM113" i="25" s="1"/>
  <c r="AY113" i="25" s="1"/>
  <c r="BK113" i="25" s="1"/>
  <c r="AP112" i="25"/>
  <c r="BB112" i="25" s="1"/>
  <c r="AO112" i="25"/>
  <c r="BA112" i="25" s="1"/>
  <c r="AE112" i="25"/>
  <c r="AQ112" i="25" s="1"/>
  <c r="BC112" i="25" s="1"/>
  <c r="AD112" i="25"/>
  <c r="AC112" i="25"/>
  <c r="AB112" i="25"/>
  <c r="AN112" i="25" s="1"/>
  <c r="AZ112" i="25" s="1"/>
  <c r="BL112" i="25" s="1"/>
  <c r="AA112" i="25"/>
  <c r="AM112" i="25" s="1"/>
  <c r="AY112" i="25" s="1"/>
  <c r="BK112" i="25" s="1"/>
  <c r="AO111" i="25"/>
  <c r="BA111" i="25" s="1"/>
  <c r="AE111" i="25"/>
  <c r="AQ111" i="25" s="1"/>
  <c r="BC111" i="25" s="1"/>
  <c r="AD111" i="25"/>
  <c r="AP111" i="25" s="1"/>
  <c r="BB111" i="25" s="1"/>
  <c r="AC111" i="25"/>
  <c r="AB111" i="25"/>
  <c r="AN111" i="25" s="1"/>
  <c r="AZ111" i="25" s="1"/>
  <c r="BL111" i="25" s="1"/>
  <c r="AA111" i="25"/>
  <c r="AM111" i="25" s="1"/>
  <c r="AY111" i="25" s="1"/>
  <c r="BK111" i="25" s="1"/>
  <c r="AE110" i="25"/>
  <c r="AQ110" i="25" s="1"/>
  <c r="BC110" i="25" s="1"/>
  <c r="AD110" i="25"/>
  <c r="AP110" i="25" s="1"/>
  <c r="BB110" i="25" s="1"/>
  <c r="AC110" i="25"/>
  <c r="AO110" i="25" s="1"/>
  <c r="BA110" i="25" s="1"/>
  <c r="AB110" i="25"/>
  <c r="AN110" i="25" s="1"/>
  <c r="AZ110" i="25" s="1"/>
  <c r="BL110" i="25" s="1"/>
  <c r="AA110" i="25"/>
  <c r="AM110" i="25" s="1"/>
  <c r="AY110" i="25" s="1"/>
  <c r="BK110" i="25" s="1"/>
  <c r="AE109" i="25"/>
  <c r="AQ109" i="25" s="1"/>
  <c r="BC109" i="25" s="1"/>
  <c r="AD109" i="25"/>
  <c r="AP109" i="25" s="1"/>
  <c r="BB109" i="25" s="1"/>
  <c r="AC109" i="25"/>
  <c r="AO109" i="25" s="1"/>
  <c r="BA109" i="25" s="1"/>
  <c r="AB109" i="25"/>
  <c r="AN109" i="25" s="1"/>
  <c r="AZ109" i="25" s="1"/>
  <c r="BL109" i="25" s="1"/>
  <c r="AA109" i="25"/>
  <c r="AM109" i="25" s="1"/>
  <c r="AY109" i="25" s="1"/>
  <c r="BK109" i="25" s="1"/>
  <c r="AE108" i="25"/>
  <c r="AQ108" i="25" s="1"/>
  <c r="BC108" i="25" s="1"/>
  <c r="AD108" i="25"/>
  <c r="AP108" i="25" s="1"/>
  <c r="BB108" i="25" s="1"/>
  <c r="AC108" i="25"/>
  <c r="AO108" i="25" s="1"/>
  <c r="BA108" i="25" s="1"/>
  <c r="AB108" i="25"/>
  <c r="AN108" i="25" s="1"/>
  <c r="AZ108" i="25" s="1"/>
  <c r="BL108" i="25" s="1"/>
  <c r="AA108" i="25"/>
  <c r="AM108" i="25" s="1"/>
  <c r="AY108" i="25" s="1"/>
  <c r="BK108" i="25" s="1"/>
  <c r="AE106" i="25"/>
  <c r="AQ106" i="25" s="1"/>
  <c r="BC106" i="25" s="1"/>
  <c r="AD106" i="25"/>
  <c r="AP106" i="25" s="1"/>
  <c r="BB106" i="25" s="1"/>
  <c r="AC106" i="25"/>
  <c r="AO106" i="25" s="1"/>
  <c r="BA106" i="25" s="1"/>
  <c r="AB106" i="25"/>
  <c r="AN106" i="25" s="1"/>
  <c r="AZ106" i="25" s="1"/>
  <c r="BL106" i="25" s="1"/>
  <c r="AA106" i="25"/>
  <c r="AM106" i="25" s="1"/>
  <c r="AY106" i="25" s="1"/>
  <c r="BK106" i="25" s="1"/>
  <c r="AE102" i="25"/>
  <c r="AQ102" i="25" s="1"/>
  <c r="BC102" i="25" s="1"/>
  <c r="AD102" i="25"/>
  <c r="AP102" i="25" s="1"/>
  <c r="BB102" i="25" s="1"/>
  <c r="AC102" i="25"/>
  <c r="AO102" i="25" s="1"/>
  <c r="BA102" i="25" s="1"/>
  <c r="AB102" i="25"/>
  <c r="AN102" i="25" s="1"/>
  <c r="AZ102" i="25" s="1"/>
  <c r="BL102" i="25" s="1"/>
  <c r="AA102" i="25"/>
  <c r="AM102" i="25" s="1"/>
  <c r="AY102" i="25" s="1"/>
  <c r="BK102" i="25" s="1"/>
  <c r="AE101" i="25"/>
  <c r="AQ101" i="25" s="1"/>
  <c r="BC101" i="25" s="1"/>
  <c r="AD101" i="25"/>
  <c r="AP101" i="25" s="1"/>
  <c r="BB101" i="25" s="1"/>
  <c r="AC101" i="25"/>
  <c r="AO101" i="25" s="1"/>
  <c r="BA101" i="25" s="1"/>
  <c r="AB101" i="25"/>
  <c r="AN101" i="25" s="1"/>
  <c r="AZ101" i="25" s="1"/>
  <c r="BL101" i="25" s="1"/>
  <c r="AA101" i="25"/>
  <c r="AM101" i="25" s="1"/>
  <c r="AY101" i="25" s="1"/>
  <c r="BK101" i="25" s="1"/>
  <c r="AE98" i="25"/>
  <c r="AQ98" i="25" s="1"/>
  <c r="BC98" i="25" s="1"/>
  <c r="AD98" i="25"/>
  <c r="AP98" i="25" s="1"/>
  <c r="BB98" i="25" s="1"/>
  <c r="AC98" i="25"/>
  <c r="AO98" i="25" s="1"/>
  <c r="BA98" i="25" s="1"/>
  <c r="AB98" i="25"/>
  <c r="AN98" i="25" s="1"/>
  <c r="AZ98" i="25" s="1"/>
  <c r="BL98" i="25" s="1"/>
  <c r="AA98" i="25"/>
  <c r="AM98" i="25" s="1"/>
  <c r="AY98" i="25" s="1"/>
  <c r="BK98" i="25" s="1"/>
  <c r="AE97" i="25"/>
  <c r="AQ97" i="25" s="1"/>
  <c r="BC97" i="25" s="1"/>
  <c r="AD97" i="25"/>
  <c r="AP97" i="25" s="1"/>
  <c r="BB97" i="25" s="1"/>
  <c r="AC97" i="25"/>
  <c r="AO97" i="25" s="1"/>
  <c r="BA97" i="25" s="1"/>
  <c r="AB97" i="25"/>
  <c r="AN97" i="25" s="1"/>
  <c r="AZ97" i="25" s="1"/>
  <c r="BL97" i="25" s="1"/>
  <c r="AA97" i="25"/>
  <c r="AM97" i="25" s="1"/>
  <c r="AY97" i="25" s="1"/>
  <c r="BK97" i="25" s="1"/>
  <c r="AE95" i="25"/>
  <c r="AQ95" i="25" s="1"/>
  <c r="BC95" i="25" s="1"/>
  <c r="AD95" i="25"/>
  <c r="AP95" i="25" s="1"/>
  <c r="BB95" i="25" s="1"/>
  <c r="AC95" i="25"/>
  <c r="AO95" i="25" s="1"/>
  <c r="BA95" i="25" s="1"/>
  <c r="AB95" i="25"/>
  <c r="AN95" i="25" s="1"/>
  <c r="AZ95" i="25" s="1"/>
  <c r="BL95" i="25" s="1"/>
  <c r="AA95" i="25"/>
  <c r="AM95" i="25" s="1"/>
  <c r="AY95" i="25" s="1"/>
  <c r="BK95" i="25" s="1"/>
  <c r="AE94" i="25"/>
  <c r="AQ94" i="25" s="1"/>
  <c r="BC94" i="25" s="1"/>
  <c r="AD94" i="25"/>
  <c r="AP94" i="25" s="1"/>
  <c r="BB94" i="25" s="1"/>
  <c r="AC94" i="25"/>
  <c r="AO94" i="25" s="1"/>
  <c r="BA94" i="25" s="1"/>
  <c r="AB94" i="25"/>
  <c r="AN94" i="25" s="1"/>
  <c r="AZ94" i="25" s="1"/>
  <c r="BL94" i="25" s="1"/>
  <c r="AA94" i="25"/>
  <c r="AM94" i="25" s="1"/>
  <c r="AY94" i="25" s="1"/>
  <c r="BK94" i="25" s="1"/>
  <c r="AE93" i="25"/>
  <c r="AQ93" i="25" s="1"/>
  <c r="BC93" i="25" s="1"/>
  <c r="AD93" i="25"/>
  <c r="AP93" i="25" s="1"/>
  <c r="BB93" i="25" s="1"/>
  <c r="AC93" i="25"/>
  <c r="AO93" i="25" s="1"/>
  <c r="BA93" i="25" s="1"/>
  <c r="AB93" i="25"/>
  <c r="AN93" i="25" s="1"/>
  <c r="AZ93" i="25" s="1"/>
  <c r="BL93" i="25" s="1"/>
  <c r="AA93" i="25"/>
  <c r="AM93" i="25" s="1"/>
  <c r="AY93" i="25" s="1"/>
  <c r="BK93" i="25" s="1"/>
  <c r="AE92" i="25"/>
  <c r="AQ92" i="25" s="1"/>
  <c r="BC92" i="25" s="1"/>
  <c r="AD92" i="25"/>
  <c r="AP92" i="25" s="1"/>
  <c r="BB92" i="25" s="1"/>
  <c r="AC92" i="25"/>
  <c r="AO92" i="25" s="1"/>
  <c r="BA92" i="25" s="1"/>
  <c r="AB92" i="25"/>
  <c r="AN92" i="25" s="1"/>
  <c r="AZ92" i="25" s="1"/>
  <c r="BL92" i="25" s="1"/>
  <c r="AA92" i="25"/>
  <c r="AM92" i="25" s="1"/>
  <c r="AY92" i="25" s="1"/>
  <c r="BK92" i="25" s="1"/>
  <c r="AP91" i="25"/>
  <c r="BB91" i="25" s="1"/>
  <c r="AE91" i="25"/>
  <c r="AQ91" i="25" s="1"/>
  <c r="BC91" i="25" s="1"/>
  <c r="AD91" i="25"/>
  <c r="AC91" i="25"/>
  <c r="AO91" i="25" s="1"/>
  <c r="BA91" i="25" s="1"/>
  <c r="AB91" i="25"/>
  <c r="AN91" i="25" s="1"/>
  <c r="AZ91" i="25" s="1"/>
  <c r="BL91" i="25" s="1"/>
  <c r="AA91" i="25"/>
  <c r="AM91" i="25" s="1"/>
  <c r="AY91" i="25" s="1"/>
  <c r="BK91" i="25" s="1"/>
  <c r="AE85" i="25"/>
  <c r="AQ85" i="25" s="1"/>
  <c r="BC85" i="25" s="1"/>
  <c r="AD85" i="25"/>
  <c r="AP85" i="25" s="1"/>
  <c r="BB85" i="25" s="1"/>
  <c r="AC85" i="25"/>
  <c r="AO85" i="25" s="1"/>
  <c r="BA85" i="25" s="1"/>
  <c r="AB85" i="25"/>
  <c r="AN85" i="25" s="1"/>
  <c r="AZ85" i="25" s="1"/>
  <c r="BL85" i="25" s="1"/>
  <c r="AA85" i="25"/>
  <c r="AM85" i="25" s="1"/>
  <c r="AY85" i="25" s="1"/>
  <c r="BK85" i="25" s="1"/>
  <c r="AE82" i="25"/>
  <c r="AQ82" i="25" s="1"/>
  <c r="BC82" i="25" s="1"/>
  <c r="AD82" i="25"/>
  <c r="AP82" i="25" s="1"/>
  <c r="BB82" i="25" s="1"/>
  <c r="AC82" i="25"/>
  <c r="AO82" i="25" s="1"/>
  <c r="BA82" i="25" s="1"/>
  <c r="AB82" i="25"/>
  <c r="AN82" i="25" s="1"/>
  <c r="AZ82" i="25" s="1"/>
  <c r="BL82" i="25" s="1"/>
  <c r="AA82" i="25"/>
  <c r="AM82" i="25" s="1"/>
  <c r="AY82" i="25" s="1"/>
  <c r="BK82" i="25" s="1"/>
  <c r="AE81" i="25"/>
  <c r="AQ81" i="25" s="1"/>
  <c r="BC81" i="25" s="1"/>
  <c r="AD81" i="25"/>
  <c r="AP81" i="25" s="1"/>
  <c r="BB81" i="25" s="1"/>
  <c r="AC81" i="25"/>
  <c r="AO81" i="25" s="1"/>
  <c r="BA81" i="25" s="1"/>
  <c r="AB81" i="25"/>
  <c r="AN81" i="25" s="1"/>
  <c r="AZ81" i="25" s="1"/>
  <c r="BL81" i="25" s="1"/>
  <c r="AA81" i="25"/>
  <c r="AM81" i="25" s="1"/>
  <c r="AY81" i="25" s="1"/>
  <c r="BK81" i="25" s="1"/>
  <c r="AE80" i="25"/>
  <c r="AQ80" i="25" s="1"/>
  <c r="BC80" i="25" s="1"/>
  <c r="AD80" i="25"/>
  <c r="AP80" i="25" s="1"/>
  <c r="BB80" i="25" s="1"/>
  <c r="AC80" i="25"/>
  <c r="AO80" i="25" s="1"/>
  <c r="BA80" i="25" s="1"/>
  <c r="AB80" i="25"/>
  <c r="AN80" i="25" s="1"/>
  <c r="AZ80" i="25" s="1"/>
  <c r="BL80" i="25" s="1"/>
  <c r="AA80" i="25"/>
  <c r="AM80" i="25" s="1"/>
  <c r="AY80" i="25" s="1"/>
  <c r="BK80" i="25" s="1"/>
  <c r="AE79" i="25"/>
  <c r="AQ79" i="25" s="1"/>
  <c r="BC79" i="25" s="1"/>
  <c r="AD79" i="25"/>
  <c r="AP79" i="25" s="1"/>
  <c r="BB79" i="25" s="1"/>
  <c r="AC79" i="25"/>
  <c r="AO79" i="25" s="1"/>
  <c r="BA79" i="25" s="1"/>
  <c r="AB79" i="25"/>
  <c r="AN79" i="25" s="1"/>
  <c r="AZ79" i="25" s="1"/>
  <c r="BL79" i="25" s="1"/>
  <c r="AA79" i="25"/>
  <c r="AM79" i="25" s="1"/>
  <c r="AY79" i="25" s="1"/>
  <c r="BK79" i="25" s="1"/>
  <c r="AE78" i="25"/>
  <c r="AQ78" i="25" s="1"/>
  <c r="BC78" i="25" s="1"/>
  <c r="AD78" i="25"/>
  <c r="AP78" i="25" s="1"/>
  <c r="BB78" i="25" s="1"/>
  <c r="AC78" i="25"/>
  <c r="AO78" i="25" s="1"/>
  <c r="BA78" i="25" s="1"/>
  <c r="AB78" i="25"/>
  <c r="AN78" i="25" s="1"/>
  <c r="AZ78" i="25" s="1"/>
  <c r="BL78" i="25" s="1"/>
  <c r="AA78" i="25"/>
  <c r="AM78" i="25" s="1"/>
  <c r="AY78" i="25" s="1"/>
  <c r="BK78" i="25" s="1"/>
  <c r="AE77" i="25"/>
  <c r="AQ77" i="25" s="1"/>
  <c r="BC77" i="25" s="1"/>
  <c r="AD77" i="25"/>
  <c r="AP77" i="25" s="1"/>
  <c r="BB77" i="25" s="1"/>
  <c r="AC77" i="25"/>
  <c r="AO77" i="25" s="1"/>
  <c r="BA77" i="25" s="1"/>
  <c r="AB77" i="25"/>
  <c r="AN77" i="25" s="1"/>
  <c r="AZ77" i="25" s="1"/>
  <c r="BL77" i="25" s="1"/>
  <c r="AA77" i="25"/>
  <c r="AM77" i="25" s="1"/>
  <c r="AY77" i="25" s="1"/>
  <c r="BK77" i="25" s="1"/>
  <c r="AE76" i="25"/>
  <c r="AQ76" i="25" s="1"/>
  <c r="BC76" i="25" s="1"/>
  <c r="AD76" i="25"/>
  <c r="AP76" i="25" s="1"/>
  <c r="BB76" i="25" s="1"/>
  <c r="AC76" i="25"/>
  <c r="AO76" i="25" s="1"/>
  <c r="BA76" i="25" s="1"/>
  <c r="AB76" i="25"/>
  <c r="AN76" i="25" s="1"/>
  <c r="AZ76" i="25" s="1"/>
  <c r="BL76" i="25" s="1"/>
  <c r="AA76" i="25"/>
  <c r="AM76" i="25" s="1"/>
  <c r="AY76" i="25" s="1"/>
  <c r="BK76" i="25" s="1"/>
  <c r="AE75" i="25"/>
  <c r="AQ75" i="25" s="1"/>
  <c r="BC75" i="25" s="1"/>
  <c r="AD75" i="25"/>
  <c r="AP75" i="25" s="1"/>
  <c r="BB75" i="25" s="1"/>
  <c r="AC75" i="25"/>
  <c r="AO75" i="25" s="1"/>
  <c r="BA75" i="25" s="1"/>
  <c r="AB75" i="25"/>
  <c r="AN75" i="25" s="1"/>
  <c r="AZ75" i="25" s="1"/>
  <c r="BL75" i="25" s="1"/>
  <c r="AA75" i="25"/>
  <c r="AM75" i="25" s="1"/>
  <c r="AY75" i="25" s="1"/>
  <c r="BK75" i="25" s="1"/>
  <c r="AE68" i="25"/>
  <c r="AQ68" i="25" s="1"/>
  <c r="BC68" i="25" s="1"/>
  <c r="AD68" i="25"/>
  <c r="AP68" i="25" s="1"/>
  <c r="BB68" i="25" s="1"/>
  <c r="AC68" i="25"/>
  <c r="AO68" i="25" s="1"/>
  <c r="BA68" i="25" s="1"/>
  <c r="AB68" i="25"/>
  <c r="AN68" i="25" s="1"/>
  <c r="AZ68" i="25" s="1"/>
  <c r="BL68" i="25" s="1"/>
  <c r="AA68" i="25"/>
  <c r="AM68" i="25" s="1"/>
  <c r="AY68" i="25" s="1"/>
  <c r="BK68" i="25" s="1"/>
  <c r="AE65" i="25"/>
  <c r="AQ65" i="25" s="1"/>
  <c r="BC65" i="25" s="1"/>
  <c r="AD65" i="25"/>
  <c r="AP65" i="25" s="1"/>
  <c r="BB65" i="25" s="1"/>
  <c r="AC65" i="25"/>
  <c r="AO65" i="25" s="1"/>
  <c r="BA65" i="25" s="1"/>
  <c r="AB65" i="25"/>
  <c r="AN65" i="25" s="1"/>
  <c r="AZ65" i="25" s="1"/>
  <c r="BL65" i="25" s="1"/>
  <c r="AA65" i="25"/>
  <c r="AM65" i="25" s="1"/>
  <c r="AY65" i="25" s="1"/>
  <c r="BK65" i="25" s="1"/>
  <c r="AE64" i="25"/>
  <c r="AQ64" i="25" s="1"/>
  <c r="BC64" i="25" s="1"/>
  <c r="AD64" i="25"/>
  <c r="AP64" i="25" s="1"/>
  <c r="BB64" i="25" s="1"/>
  <c r="AC64" i="25"/>
  <c r="AO64" i="25" s="1"/>
  <c r="BA64" i="25" s="1"/>
  <c r="AB64" i="25"/>
  <c r="AN64" i="25" s="1"/>
  <c r="AZ64" i="25" s="1"/>
  <c r="BL64" i="25" s="1"/>
  <c r="AA64" i="25"/>
  <c r="AM64" i="25" s="1"/>
  <c r="AY64" i="25" s="1"/>
  <c r="BK64" i="25" s="1"/>
  <c r="AE62" i="25"/>
  <c r="AQ62" i="25" s="1"/>
  <c r="BC62" i="25" s="1"/>
  <c r="AD62" i="25"/>
  <c r="AP62" i="25" s="1"/>
  <c r="BB62" i="25" s="1"/>
  <c r="AC62" i="25"/>
  <c r="AO62" i="25" s="1"/>
  <c r="BA62" i="25" s="1"/>
  <c r="AB62" i="25"/>
  <c r="AN62" i="25" s="1"/>
  <c r="AZ62" i="25" s="1"/>
  <c r="BL62" i="25" s="1"/>
  <c r="AA62" i="25"/>
  <c r="AM62" i="25" s="1"/>
  <c r="AY62" i="25" s="1"/>
  <c r="BK62" i="25" s="1"/>
  <c r="AE61" i="25"/>
  <c r="AQ61" i="25" s="1"/>
  <c r="BC61" i="25" s="1"/>
  <c r="AD61" i="25"/>
  <c r="AP61" i="25" s="1"/>
  <c r="BB61" i="25" s="1"/>
  <c r="AC61" i="25"/>
  <c r="AO61" i="25" s="1"/>
  <c r="BA61" i="25" s="1"/>
  <c r="AB61" i="25"/>
  <c r="AN61" i="25" s="1"/>
  <c r="AZ61" i="25" s="1"/>
  <c r="BL61" i="25" s="1"/>
  <c r="AA61" i="25"/>
  <c r="AM61" i="25" s="1"/>
  <c r="AY61" i="25" s="1"/>
  <c r="BK61" i="25" s="1"/>
  <c r="AE60" i="25"/>
  <c r="AQ60" i="25" s="1"/>
  <c r="BC60" i="25" s="1"/>
  <c r="AD60" i="25"/>
  <c r="AP60" i="25" s="1"/>
  <c r="BB60" i="25" s="1"/>
  <c r="AC60" i="25"/>
  <c r="AO60" i="25" s="1"/>
  <c r="BA60" i="25" s="1"/>
  <c r="AB60" i="25"/>
  <c r="AN60" i="25" s="1"/>
  <c r="AZ60" i="25" s="1"/>
  <c r="BL60" i="25" s="1"/>
  <c r="AA60" i="25"/>
  <c r="AM60" i="25" s="1"/>
  <c r="AY60" i="25" s="1"/>
  <c r="BK60" i="25" s="1"/>
  <c r="AP59" i="25"/>
  <c r="BB59" i="25" s="1"/>
  <c r="AE59" i="25"/>
  <c r="AQ59" i="25" s="1"/>
  <c r="BC59" i="25" s="1"/>
  <c r="AD59" i="25"/>
  <c r="AC59" i="25"/>
  <c r="AO59" i="25" s="1"/>
  <c r="BA59" i="25" s="1"/>
  <c r="AB59" i="25"/>
  <c r="AN59" i="25" s="1"/>
  <c r="AZ59" i="25" s="1"/>
  <c r="BL59" i="25" s="1"/>
  <c r="AA59" i="25"/>
  <c r="AM59" i="25" s="1"/>
  <c r="AY59" i="25" s="1"/>
  <c r="BK59" i="25" s="1"/>
  <c r="AE58" i="25"/>
  <c r="AQ58" i="25" s="1"/>
  <c r="BC58" i="25" s="1"/>
  <c r="AD58" i="25"/>
  <c r="AP58" i="25" s="1"/>
  <c r="BB58" i="25" s="1"/>
  <c r="AC58" i="25"/>
  <c r="AO58" i="25" s="1"/>
  <c r="BA58" i="25" s="1"/>
  <c r="AB58" i="25"/>
  <c r="AN58" i="25" s="1"/>
  <c r="AZ58" i="25" s="1"/>
  <c r="BL58" i="25" s="1"/>
  <c r="AA58" i="25"/>
  <c r="AM58" i="25" s="1"/>
  <c r="AY58" i="25" s="1"/>
  <c r="BK58" i="25" s="1"/>
  <c r="AP48" i="25"/>
  <c r="BB48" i="25" s="1"/>
  <c r="AE48" i="25"/>
  <c r="AQ48" i="25" s="1"/>
  <c r="BC48" i="25" s="1"/>
  <c r="AD48" i="25"/>
  <c r="AC48" i="25"/>
  <c r="AO48" i="25" s="1"/>
  <c r="BA48" i="25" s="1"/>
  <c r="AB48" i="25"/>
  <c r="AN48" i="25" s="1"/>
  <c r="AZ48" i="25" s="1"/>
  <c r="BL48" i="25" s="1"/>
  <c r="AA48" i="25"/>
  <c r="AM48" i="25" s="1"/>
  <c r="AY48" i="25" s="1"/>
  <c r="BK48" i="25" s="1"/>
  <c r="AE47" i="25"/>
  <c r="AQ47" i="25" s="1"/>
  <c r="BC47" i="25" s="1"/>
  <c r="AD47" i="25"/>
  <c r="AP47" i="25" s="1"/>
  <c r="BB47" i="25" s="1"/>
  <c r="AC47" i="25"/>
  <c r="AO47" i="25" s="1"/>
  <c r="BA47" i="25" s="1"/>
  <c r="AB47" i="25"/>
  <c r="AN47" i="25" s="1"/>
  <c r="AZ47" i="25" s="1"/>
  <c r="BL47" i="25" s="1"/>
  <c r="AA47" i="25"/>
  <c r="AM47" i="25" s="1"/>
  <c r="AY47" i="25" s="1"/>
  <c r="BK47" i="25" s="1"/>
  <c r="AE46" i="25"/>
  <c r="AQ46" i="25" s="1"/>
  <c r="BC46" i="25" s="1"/>
  <c r="AD46" i="25"/>
  <c r="AP46" i="25" s="1"/>
  <c r="BB46" i="25" s="1"/>
  <c r="AC46" i="25"/>
  <c r="AO46" i="25" s="1"/>
  <c r="BA46" i="25" s="1"/>
  <c r="AB46" i="25"/>
  <c r="AN46" i="25" s="1"/>
  <c r="AZ46" i="25" s="1"/>
  <c r="BL46" i="25" s="1"/>
  <c r="AA46" i="25"/>
  <c r="AM46" i="25" s="1"/>
  <c r="AY46" i="25" s="1"/>
  <c r="BK46" i="25" s="1"/>
  <c r="AE45" i="25"/>
  <c r="AQ45" i="25" s="1"/>
  <c r="BC45" i="25" s="1"/>
  <c r="AD45" i="25"/>
  <c r="AP45" i="25" s="1"/>
  <c r="BB45" i="25" s="1"/>
  <c r="AC45" i="25"/>
  <c r="AO45" i="25" s="1"/>
  <c r="BA45" i="25" s="1"/>
  <c r="AB45" i="25"/>
  <c r="AN45" i="25" s="1"/>
  <c r="AZ45" i="25" s="1"/>
  <c r="BL45" i="25" s="1"/>
  <c r="AA45" i="25"/>
  <c r="AM45" i="25" s="1"/>
  <c r="AY45" i="25" s="1"/>
  <c r="BK45" i="25" s="1"/>
  <c r="AE44" i="25"/>
  <c r="AQ44" i="25" s="1"/>
  <c r="BC44" i="25" s="1"/>
  <c r="AD44" i="25"/>
  <c r="AP44" i="25" s="1"/>
  <c r="BB44" i="25" s="1"/>
  <c r="AC44" i="25"/>
  <c r="AO44" i="25" s="1"/>
  <c r="BA44" i="25" s="1"/>
  <c r="AB44" i="25"/>
  <c r="AN44" i="25" s="1"/>
  <c r="AZ44" i="25" s="1"/>
  <c r="BL44" i="25" s="1"/>
  <c r="AA44" i="25"/>
  <c r="AM44" i="25" s="1"/>
  <c r="AY44" i="25" s="1"/>
  <c r="BK44" i="25" s="1"/>
  <c r="AE43" i="25"/>
  <c r="AQ43" i="25" s="1"/>
  <c r="BC43" i="25" s="1"/>
  <c r="AD43" i="25"/>
  <c r="AP43" i="25" s="1"/>
  <c r="BB43" i="25" s="1"/>
  <c r="AC43" i="25"/>
  <c r="AO43" i="25" s="1"/>
  <c r="BA43" i="25" s="1"/>
  <c r="AB43" i="25"/>
  <c r="AN43" i="25" s="1"/>
  <c r="AZ43" i="25" s="1"/>
  <c r="BL43" i="25" s="1"/>
  <c r="AA43" i="25"/>
  <c r="AM43" i="25" s="1"/>
  <c r="AY43" i="25" s="1"/>
  <c r="BK43" i="25" s="1"/>
  <c r="AE42" i="25"/>
  <c r="AQ42" i="25" s="1"/>
  <c r="BC42" i="25" s="1"/>
  <c r="AD42" i="25"/>
  <c r="AP42" i="25" s="1"/>
  <c r="BB42" i="25" s="1"/>
  <c r="AC42" i="25"/>
  <c r="AO42" i="25" s="1"/>
  <c r="BA42" i="25" s="1"/>
  <c r="AB42" i="25"/>
  <c r="AN42" i="25" s="1"/>
  <c r="AZ42" i="25" s="1"/>
  <c r="BL42" i="25" s="1"/>
  <c r="AA42" i="25"/>
  <c r="AM42" i="25" s="1"/>
  <c r="AY42" i="25" s="1"/>
  <c r="BK42" i="25" s="1"/>
  <c r="AE41" i="25"/>
  <c r="AQ41" i="25" s="1"/>
  <c r="BC41" i="25" s="1"/>
  <c r="AD41" i="25"/>
  <c r="AP41" i="25" s="1"/>
  <c r="BB41" i="25" s="1"/>
  <c r="AC41" i="25"/>
  <c r="AO41" i="25" s="1"/>
  <c r="BA41" i="25" s="1"/>
  <c r="AB41" i="25"/>
  <c r="AN41" i="25" s="1"/>
  <c r="AZ41" i="25" s="1"/>
  <c r="BL41" i="25" s="1"/>
  <c r="AA41" i="25"/>
  <c r="AM41" i="25" s="1"/>
  <c r="AY41" i="25" s="1"/>
  <c r="BK41" i="25" s="1"/>
  <c r="AE34" i="25"/>
  <c r="AQ34" i="25" s="1"/>
  <c r="BC34" i="25" s="1"/>
  <c r="AD34" i="25"/>
  <c r="AP34" i="25" s="1"/>
  <c r="BB34" i="25" s="1"/>
  <c r="AC34" i="25"/>
  <c r="AO34" i="25" s="1"/>
  <c r="BA34" i="25" s="1"/>
  <c r="AB34" i="25"/>
  <c r="AN34" i="25" s="1"/>
  <c r="AZ34" i="25" s="1"/>
  <c r="BL34" i="25" s="1"/>
  <c r="AA34" i="25"/>
  <c r="AM34" i="25" s="1"/>
  <c r="AY34" i="25" s="1"/>
  <c r="BK34" i="25" s="1"/>
  <c r="AE33" i="25"/>
  <c r="AQ33" i="25" s="1"/>
  <c r="BC33" i="25" s="1"/>
  <c r="AD33" i="25"/>
  <c r="AP33" i="25" s="1"/>
  <c r="BB33" i="25" s="1"/>
  <c r="AC33" i="25"/>
  <c r="AO33" i="25" s="1"/>
  <c r="BA33" i="25" s="1"/>
  <c r="AB33" i="25"/>
  <c r="AN33" i="25" s="1"/>
  <c r="AZ33" i="25" s="1"/>
  <c r="BL33" i="25" s="1"/>
  <c r="AA33" i="25"/>
  <c r="AM33" i="25" s="1"/>
  <c r="AY33" i="25" s="1"/>
  <c r="BK33" i="25" s="1"/>
  <c r="AP31" i="25"/>
  <c r="BB31" i="25" s="1"/>
  <c r="AE31" i="25"/>
  <c r="AQ31" i="25" s="1"/>
  <c r="BC31" i="25" s="1"/>
  <c r="AD31" i="25"/>
  <c r="AC31" i="25"/>
  <c r="AO31" i="25" s="1"/>
  <c r="BA31" i="25" s="1"/>
  <c r="AB31" i="25"/>
  <c r="AN31" i="25" s="1"/>
  <c r="AZ31" i="25" s="1"/>
  <c r="BL31" i="25" s="1"/>
  <c r="AA31" i="25"/>
  <c r="AM31" i="25" s="1"/>
  <c r="AY31" i="25" s="1"/>
  <c r="BK31" i="25" s="1"/>
  <c r="AE30" i="25"/>
  <c r="AQ30" i="25" s="1"/>
  <c r="BC30" i="25" s="1"/>
  <c r="AD30" i="25"/>
  <c r="AP30" i="25" s="1"/>
  <c r="BB30" i="25" s="1"/>
  <c r="AC30" i="25"/>
  <c r="AO30" i="25" s="1"/>
  <c r="BA30" i="25" s="1"/>
  <c r="AB30" i="25"/>
  <c r="AN30" i="25" s="1"/>
  <c r="AZ30" i="25" s="1"/>
  <c r="BL30" i="25" s="1"/>
  <c r="AA30" i="25"/>
  <c r="AM30" i="25" s="1"/>
  <c r="AY30" i="25" s="1"/>
  <c r="BK30" i="25" s="1"/>
  <c r="AE28" i="25"/>
  <c r="AQ28" i="25" s="1"/>
  <c r="BC28" i="25" s="1"/>
  <c r="AD28" i="25"/>
  <c r="AP28" i="25" s="1"/>
  <c r="BB28" i="25" s="1"/>
  <c r="AC28" i="25"/>
  <c r="AO28" i="25" s="1"/>
  <c r="BA28" i="25" s="1"/>
  <c r="AB28" i="25"/>
  <c r="AN28" i="25" s="1"/>
  <c r="AZ28" i="25" s="1"/>
  <c r="BL28" i="25" s="1"/>
  <c r="AA28" i="25"/>
  <c r="AM28" i="25" s="1"/>
  <c r="AY28" i="25" s="1"/>
  <c r="BK28" i="25" s="1"/>
  <c r="AE27" i="25"/>
  <c r="AQ27" i="25" s="1"/>
  <c r="BC27" i="25" s="1"/>
  <c r="AD27" i="25"/>
  <c r="AP27" i="25" s="1"/>
  <c r="BB27" i="25" s="1"/>
  <c r="AC27" i="25"/>
  <c r="AO27" i="25" s="1"/>
  <c r="BA27" i="25" s="1"/>
  <c r="AB27" i="25"/>
  <c r="AN27" i="25" s="1"/>
  <c r="AZ27" i="25" s="1"/>
  <c r="BL27" i="25" s="1"/>
  <c r="AA27" i="25"/>
  <c r="AM27" i="25" s="1"/>
  <c r="AY27" i="25" s="1"/>
  <c r="BK27" i="25" s="1"/>
  <c r="AE26" i="25"/>
  <c r="AQ26" i="25" s="1"/>
  <c r="BC26" i="25" s="1"/>
  <c r="AD26" i="25"/>
  <c r="AP26" i="25" s="1"/>
  <c r="BB26" i="25" s="1"/>
  <c r="AC26" i="25"/>
  <c r="AO26" i="25" s="1"/>
  <c r="BA26" i="25" s="1"/>
  <c r="AB26" i="25"/>
  <c r="AN26" i="25" s="1"/>
  <c r="AZ26" i="25" s="1"/>
  <c r="BL26" i="25" s="1"/>
  <c r="AA26" i="25"/>
  <c r="AM26" i="25" s="1"/>
  <c r="AY26" i="25" s="1"/>
  <c r="BK26" i="25" s="1"/>
  <c r="AP25" i="25"/>
  <c r="BB25" i="25" s="1"/>
  <c r="AE25" i="25"/>
  <c r="AQ25" i="25" s="1"/>
  <c r="BC25" i="25" s="1"/>
  <c r="AD25" i="25"/>
  <c r="AC25" i="25"/>
  <c r="AO25" i="25" s="1"/>
  <c r="BA25" i="25" s="1"/>
  <c r="AB25" i="25"/>
  <c r="AN25" i="25" s="1"/>
  <c r="AZ25" i="25" s="1"/>
  <c r="BL25" i="25" s="1"/>
  <c r="AA25" i="25"/>
  <c r="AM25" i="25" s="1"/>
  <c r="AY25" i="25" s="1"/>
  <c r="BK25" i="25" s="1"/>
  <c r="AE24" i="25"/>
  <c r="AQ24" i="25" s="1"/>
  <c r="BC24" i="25" s="1"/>
  <c r="AD24" i="25"/>
  <c r="AP24" i="25" s="1"/>
  <c r="BB24" i="25" s="1"/>
  <c r="AC24" i="25"/>
  <c r="AO24" i="25" s="1"/>
  <c r="BA24" i="25" s="1"/>
  <c r="AB24" i="25"/>
  <c r="AN24" i="25" s="1"/>
  <c r="AZ24" i="25" s="1"/>
  <c r="BL24" i="25" s="1"/>
  <c r="AA24" i="25"/>
  <c r="AM24" i="25" s="1"/>
  <c r="AY24" i="25" s="1"/>
  <c r="BK24" i="25" s="1"/>
  <c r="AP18" i="25"/>
  <c r="BB18" i="25" s="1"/>
  <c r="AE18" i="25"/>
  <c r="AQ18" i="25" s="1"/>
  <c r="BC18" i="25" s="1"/>
  <c r="AD18" i="25"/>
  <c r="AC18" i="25"/>
  <c r="AO18" i="25" s="1"/>
  <c r="BA18" i="25" s="1"/>
  <c r="AB18" i="25"/>
  <c r="AN18" i="25" s="1"/>
  <c r="AZ18" i="25" s="1"/>
  <c r="BL18" i="25" s="1"/>
  <c r="AA18" i="25"/>
  <c r="AM18" i="25" s="1"/>
  <c r="AY18" i="25" s="1"/>
  <c r="BK18" i="25" s="1"/>
  <c r="AE15" i="25"/>
  <c r="AQ15" i="25" s="1"/>
  <c r="BC15" i="25" s="1"/>
  <c r="AD15" i="25"/>
  <c r="AP15" i="25" s="1"/>
  <c r="BB15" i="25" s="1"/>
  <c r="AC15" i="25"/>
  <c r="AO15" i="25" s="1"/>
  <c r="BA15" i="25" s="1"/>
  <c r="AB15" i="25"/>
  <c r="AN15" i="25" s="1"/>
  <c r="AZ15" i="25" s="1"/>
  <c r="BL15" i="25" s="1"/>
  <c r="AA15" i="25"/>
  <c r="AM15" i="25" s="1"/>
  <c r="AY15" i="25" s="1"/>
  <c r="BK15" i="25" s="1"/>
  <c r="AE14" i="25"/>
  <c r="AQ14" i="25" s="1"/>
  <c r="BC14" i="25" s="1"/>
  <c r="AD14" i="25"/>
  <c r="AP14" i="25" s="1"/>
  <c r="BB14" i="25" s="1"/>
  <c r="AC14" i="25"/>
  <c r="AO14" i="25" s="1"/>
  <c r="BA14" i="25" s="1"/>
  <c r="AB14" i="25"/>
  <c r="AN14" i="25" s="1"/>
  <c r="AZ14" i="25" s="1"/>
  <c r="BL14" i="25" s="1"/>
  <c r="AA14" i="25"/>
  <c r="AM14" i="25" s="1"/>
  <c r="AY14" i="25" s="1"/>
  <c r="BK14" i="25" s="1"/>
  <c r="AE13" i="25"/>
  <c r="AQ13" i="25" s="1"/>
  <c r="BC13" i="25" s="1"/>
  <c r="AD13" i="25"/>
  <c r="AP13" i="25" s="1"/>
  <c r="BB13" i="25" s="1"/>
  <c r="AC13" i="25"/>
  <c r="AO13" i="25" s="1"/>
  <c r="BA13" i="25" s="1"/>
  <c r="AB13" i="25"/>
  <c r="AN13" i="25" s="1"/>
  <c r="AZ13" i="25" s="1"/>
  <c r="BL13" i="25" s="1"/>
  <c r="AA13" i="25"/>
  <c r="AM13" i="25" s="1"/>
  <c r="AY13" i="25" s="1"/>
  <c r="BK13" i="25" s="1"/>
  <c r="AE12" i="25"/>
  <c r="AQ12" i="25" s="1"/>
  <c r="BC12" i="25" s="1"/>
  <c r="AD12" i="25"/>
  <c r="AP12" i="25" s="1"/>
  <c r="BB12" i="25" s="1"/>
  <c r="AC12" i="25"/>
  <c r="AO12" i="25" s="1"/>
  <c r="BA12" i="25" s="1"/>
  <c r="AB12" i="25"/>
  <c r="AN12" i="25" s="1"/>
  <c r="AZ12" i="25" s="1"/>
  <c r="BL12" i="25" s="1"/>
  <c r="AA12" i="25"/>
  <c r="AM12" i="25" s="1"/>
  <c r="AY12" i="25" s="1"/>
  <c r="BK12" i="25" s="1"/>
  <c r="AE11" i="25"/>
  <c r="AQ11" i="25" s="1"/>
  <c r="BC11" i="25" s="1"/>
  <c r="AD11" i="25"/>
  <c r="AP11" i="25" s="1"/>
  <c r="BB11" i="25" s="1"/>
  <c r="AC11" i="25"/>
  <c r="AO11" i="25" s="1"/>
  <c r="BA11" i="25" s="1"/>
  <c r="AB11" i="25"/>
  <c r="AN11" i="25" s="1"/>
  <c r="AZ11" i="25" s="1"/>
  <c r="BL11" i="25" s="1"/>
  <c r="AA11" i="25"/>
  <c r="AM11" i="25" s="1"/>
  <c r="AY11" i="25" s="1"/>
  <c r="BK11" i="25" s="1"/>
  <c r="AP10" i="25"/>
  <c r="BB10" i="25" s="1"/>
  <c r="AE10" i="25"/>
  <c r="AQ10" i="25" s="1"/>
  <c r="BC10" i="25" s="1"/>
  <c r="AD10" i="25"/>
  <c r="AC10" i="25"/>
  <c r="AO10" i="25" s="1"/>
  <c r="BA10" i="25" s="1"/>
  <c r="AB10" i="25"/>
  <c r="AN10" i="25" s="1"/>
  <c r="AZ10" i="25" s="1"/>
  <c r="BL10" i="25" s="1"/>
  <c r="AA10" i="25"/>
  <c r="AM10" i="25" s="1"/>
  <c r="AY10" i="25" s="1"/>
  <c r="BK10" i="25" s="1"/>
  <c r="AE9" i="25"/>
  <c r="AQ9" i="25" s="1"/>
  <c r="BC9" i="25" s="1"/>
  <c r="AD9" i="25"/>
  <c r="AP9" i="25" s="1"/>
  <c r="BB9" i="25" s="1"/>
  <c r="AC9" i="25"/>
  <c r="AO9" i="25" s="1"/>
  <c r="BA9" i="25" s="1"/>
  <c r="AB9" i="25"/>
  <c r="AN9" i="25" s="1"/>
  <c r="AZ9" i="25" s="1"/>
  <c r="BL9" i="25" s="1"/>
  <c r="AA9" i="25"/>
  <c r="AM9" i="25" s="1"/>
  <c r="AY9" i="25" s="1"/>
  <c r="BK9" i="25" s="1"/>
  <c r="AC8" i="25"/>
  <c r="AO8" i="25" s="1"/>
  <c r="BA8" i="25" s="1"/>
  <c r="Y16" i="25"/>
  <c r="AF16" i="25" s="1"/>
  <c r="AM16" i="25" s="1"/>
  <c r="X16" i="25"/>
  <c r="W16" i="25"/>
  <c r="AD16" i="25" s="1"/>
  <c r="AK16" i="25" s="1"/>
  <c r="AR16" i="25" s="1"/>
  <c r="AR137" i="25" s="1"/>
  <c r="AG14" i="16" s="1"/>
  <c r="V16" i="25"/>
  <c r="AC16" i="25" s="1"/>
  <c r="U16" i="25"/>
  <c r="AB16" i="25" s="1"/>
  <c r="AI16" i="25" s="1"/>
  <c r="AP16" i="25" s="1"/>
  <c r="AW16" i="25" s="1"/>
  <c r="AW137" i="25" s="1"/>
  <c r="AL14" i="16" s="1"/>
  <c r="AE74" i="25"/>
  <c r="AD74" i="25"/>
  <c r="BB74" i="25" s="1"/>
  <c r="AC74" i="25"/>
  <c r="AO74" i="25" s="1"/>
  <c r="AB74" i="25"/>
  <c r="AZ74" i="25" s="1"/>
  <c r="AA74" i="25"/>
  <c r="BK74" i="25" s="1"/>
  <c r="AE8" i="25"/>
  <c r="AQ8" i="25" s="1"/>
  <c r="BC8" i="25" s="1"/>
  <c r="AD8" i="25"/>
  <c r="AP8" i="25" s="1"/>
  <c r="BB8" i="25" s="1"/>
  <c r="AB8" i="25"/>
  <c r="AN8" i="25" s="1"/>
  <c r="AZ8" i="25" s="1"/>
  <c r="BL8" i="25" s="1"/>
  <c r="AA8" i="25"/>
  <c r="AM8" i="25" s="1"/>
  <c r="AY8" i="25" s="1"/>
  <c r="BK8" i="25" s="1"/>
  <c r="BB121" i="25"/>
  <c r="BA121" i="25"/>
  <c r="AZ121" i="25"/>
  <c r="AY121" i="25"/>
  <c r="AX121" i="25"/>
  <c r="BB88" i="25"/>
  <c r="BA88" i="25"/>
  <c r="AZ88" i="25"/>
  <c r="AY88" i="25"/>
  <c r="AX88" i="25"/>
  <c r="BB55" i="25"/>
  <c r="BA55" i="25"/>
  <c r="AZ55" i="25"/>
  <c r="AY55" i="25"/>
  <c r="AX55" i="25"/>
  <c r="BB21" i="25"/>
  <c r="BA21" i="25"/>
  <c r="AZ21" i="25"/>
  <c r="AY21" i="25"/>
  <c r="AX21" i="25"/>
  <c r="AY6" i="25"/>
  <c r="AZ6" i="25"/>
  <c r="BA6" i="25"/>
  <c r="BB6" i="25"/>
  <c r="AX6" i="25"/>
  <c r="W6" i="25"/>
  <c r="W137" i="25" s="1"/>
  <c r="L14" i="16" s="1"/>
  <c r="X6" i="25"/>
  <c r="X137" i="25" s="1"/>
  <c r="M14" i="16" s="1"/>
  <c r="Y6" i="25"/>
  <c r="Y137" i="25" s="1"/>
  <c r="N14" i="16" s="1"/>
  <c r="Z6" i="25"/>
  <c r="U6" i="25"/>
  <c r="U137" i="25" s="1"/>
  <c r="J14" i="16" s="1"/>
  <c r="V6" i="25"/>
  <c r="V137" i="25" s="1"/>
  <c r="K14" i="16" s="1"/>
  <c r="T6" i="25"/>
  <c r="T137" i="25" s="1"/>
  <c r="I14" i="16" s="1"/>
  <c r="I15" i="16" l="1"/>
  <c r="I14" i="19" s="1"/>
  <c r="I13" i="19"/>
  <c r="K15" i="16"/>
  <c r="K14" i="19" s="1"/>
  <c r="K13" i="19"/>
  <c r="W15" i="16"/>
  <c r="W14" i="19" s="1"/>
  <c r="W13" i="19"/>
  <c r="J15" i="16"/>
  <c r="J14" i="19" s="1"/>
  <c r="J13" i="19"/>
  <c r="AG15" i="16"/>
  <c r="AG14" i="19" s="1"/>
  <c r="AG13" i="19"/>
  <c r="N15" i="16"/>
  <c r="N14" i="19" s="1"/>
  <c r="N13" i="19"/>
  <c r="M15" i="16"/>
  <c r="M14" i="19" s="1"/>
  <c r="M13" i="19"/>
  <c r="AL15" i="16"/>
  <c r="AL14" i="19" s="1"/>
  <c r="AL13" i="19"/>
  <c r="L15" i="16"/>
  <c r="L14" i="19" s="1"/>
  <c r="L13" i="19"/>
  <c r="AF137" i="25"/>
  <c r="U14" i="16" s="1"/>
  <c r="L118" i="17"/>
  <c r="M118" i="17" s="1"/>
  <c r="D63" i="17"/>
  <c r="D64" i="17" s="1"/>
  <c r="AA137" i="25"/>
  <c r="P14" i="16" s="1"/>
  <c r="AI137" i="25"/>
  <c r="X14" i="16" s="1"/>
  <c r="AP74" i="25"/>
  <c r="AP137" i="25" s="1"/>
  <c r="AE14" i="16" s="1"/>
  <c r="AB137" i="25"/>
  <c r="Q14" i="16" s="1"/>
  <c r="AC137" i="25"/>
  <c r="R14" i="16" s="1"/>
  <c r="AK137" i="25"/>
  <c r="Z14" i="16" s="1"/>
  <c r="K76" i="17"/>
  <c r="K77" i="17" s="1"/>
  <c r="D111" i="17"/>
  <c r="D112" i="17" s="1"/>
  <c r="D141" i="17" s="1"/>
  <c r="AD137" i="25"/>
  <c r="S14" i="16" s="1"/>
  <c r="D144" i="17"/>
  <c r="E144" i="17" s="1"/>
  <c r="F144" i="17" s="1"/>
  <c r="K111" i="17"/>
  <c r="K112" i="17" s="1"/>
  <c r="D124" i="17"/>
  <c r="D125" i="17" s="1"/>
  <c r="D93" i="17"/>
  <c r="D76" i="17"/>
  <c r="D77" i="17" s="1"/>
  <c r="K63" i="17"/>
  <c r="K64" i="17" s="1"/>
  <c r="D96" i="17"/>
  <c r="E96" i="17" s="1"/>
  <c r="F96" i="17" s="1"/>
  <c r="M76" i="17"/>
  <c r="M77" i="17" s="1"/>
  <c r="K78" i="17" s="1"/>
  <c r="K79" i="17" s="1"/>
  <c r="L76" i="17"/>
  <c r="F63" i="17"/>
  <c r="F64" i="17" s="1"/>
  <c r="D65" i="17" s="1"/>
  <c r="D66" i="17" s="1"/>
  <c r="BA74" i="25"/>
  <c r="BL74" i="25"/>
  <c r="Z116" i="25"/>
  <c r="AG116" i="25" s="1"/>
  <c r="AN116" i="25" s="1"/>
  <c r="AU116" i="25" s="1"/>
  <c r="BB116" i="25" s="1"/>
  <c r="Z16" i="25"/>
  <c r="Z137" i="25" s="1"/>
  <c r="O14" i="16" s="1"/>
  <c r="Z49" i="25"/>
  <c r="AG49" i="25" s="1"/>
  <c r="AN49" i="25" s="1"/>
  <c r="AU49" i="25" s="1"/>
  <c r="BB49" i="25" s="1"/>
  <c r="Z83" i="25"/>
  <c r="AG83" i="25" s="1"/>
  <c r="AN83" i="25" s="1"/>
  <c r="AU83" i="25" s="1"/>
  <c r="BB83" i="25" s="1"/>
  <c r="AM74" i="25"/>
  <c r="AM137" i="25" s="1"/>
  <c r="AB14" i="16" s="1"/>
  <c r="AQ74" i="25"/>
  <c r="AN74" i="25"/>
  <c r="AY74" i="25"/>
  <c r="BC74" i="25"/>
  <c r="AE15" i="16" l="1"/>
  <c r="AE14" i="19" s="1"/>
  <c r="AE13" i="19"/>
  <c r="O15" i="16"/>
  <c r="O14" i="19" s="1"/>
  <c r="O13" i="19"/>
  <c r="AB15" i="16"/>
  <c r="AB14" i="19" s="1"/>
  <c r="AB13" i="19"/>
  <c r="AE49" i="25"/>
  <c r="Q15" i="16"/>
  <c r="Q14" i="19" s="1"/>
  <c r="Q13" i="19"/>
  <c r="R15" i="16"/>
  <c r="R14" i="19" s="1"/>
  <c r="R13" i="19"/>
  <c r="C84" i="17"/>
  <c r="C87" i="17" s="1"/>
  <c r="N31" i="16"/>
  <c r="AE116" i="25"/>
  <c r="F84" i="17"/>
  <c r="F87" i="17" s="1"/>
  <c r="N34" i="16"/>
  <c r="U15" i="16"/>
  <c r="U14" i="19" s="1"/>
  <c r="U13" i="19"/>
  <c r="S15" i="16"/>
  <c r="S14" i="19" s="1"/>
  <c r="S13" i="19"/>
  <c r="X15" i="16"/>
  <c r="X14" i="19" s="1"/>
  <c r="X13" i="19"/>
  <c r="P15" i="16"/>
  <c r="P14" i="19" s="1"/>
  <c r="P13" i="19"/>
  <c r="Z15" i="16"/>
  <c r="Z14" i="19" s="1"/>
  <c r="Z13" i="19"/>
  <c r="F76" i="17"/>
  <c r="F77" i="17" s="1"/>
  <c r="D78" i="17" s="1"/>
  <c r="D79" i="17" s="1"/>
  <c r="M124" i="17"/>
  <c r="M125" i="17" s="1"/>
  <c r="K126" i="17" s="1"/>
  <c r="K127" i="17" s="1"/>
  <c r="L124" i="17"/>
  <c r="D143" i="17"/>
  <c r="E143" i="17" s="1"/>
  <c r="F143" i="17" s="1"/>
  <c r="E111" i="17"/>
  <c r="L111" i="17"/>
  <c r="M111" i="17"/>
  <c r="M112" i="17" s="1"/>
  <c r="K113" i="17" s="1"/>
  <c r="K114" i="17" s="1"/>
  <c r="E141" i="17"/>
  <c r="F111" i="17"/>
  <c r="F112" i="17" s="1"/>
  <c r="D113" i="17" s="1"/>
  <c r="D114" i="17" s="1"/>
  <c r="E124" i="17"/>
  <c r="F124" i="17"/>
  <c r="F125" i="17" s="1"/>
  <c r="D126" i="17" s="1"/>
  <c r="D127" i="17" s="1"/>
  <c r="D142" i="17"/>
  <c r="E142" i="17" s="1"/>
  <c r="F142" i="17" s="1"/>
  <c r="L63" i="17"/>
  <c r="M63" i="17"/>
  <c r="M64" i="17" s="1"/>
  <c r="K65" i="17" s="1"/>
  <c r="K66" i="17" s="1"/>
  <c r="E76" i="17"/>
  <c r="D95" i="17"/>
  <c r="E95" i="17" s="1"/>
  <c r="F95" i="17" s="1"/>
  <c r="D94" i="17"/>
  <c r="E94" i="17" s="1"/>
  <c r="F94" i="17" s="1"/>
  <c r="E93" i="17"/>
  <c r="E63" i="17"/>
  <c r="AE83" i="25"/>
  <c r="AG16" i="25"/>
  <c r="AE16" i="25"/>
  <c r="AE137" i="25" s="1"/>
  <c r="T14" i="16" s="1"/>
  <c r="AL116" i="25"/>
  <c r="AS116" i="25" s="1"/>
  <c r="AZ116" i="25" s="1"/>
  <c r="BG116" i="25" s="1"/>
  <c r="AJ116" i="25"/>
  <c r="AL83" i="25"/>
  <c r="AS83" i="25" s="1"/>
  <c r="AZ83" i="25" s="1"/>
  <c r="BG83" i="25" s="1"/>
  <c r="AJ83" i="25"/>
  <c r="AJ49" i="25"/>
  <c r="AL49" i="25"/>
  <c r="AS49" i="25" s="1"/>
  <c r="AZ49" i="25" s="1"/>
  <c r="BG49" i="25" s="1"/>
  <c r="T15" i="16" l="1"/>
  <c r="T14" i="19" s="1"/>
  <c r="T13" i="19"/>
  <c r="D84" i="17"/>
  <c r="D87" i="17" s="1"/>
  <c r="N32" i="16"/>
  <c r="AN16" i="25"/>
  <c r="AG137" i="25"/>
  <c r="V14" i="16" s="1"/>
  <c r="E132" i="17"/>
  <c r="E135" i="17" s="1"/>
  <c r="X33" i="16"/>
  <c r="D132" i="17"/>
  <c r="D135" i="17" s="1"/>
  <c r="X32" i="16"/>
  <c r="F132" i="17"/>
  <c r="F135" i="17" s="1"/>
  <c r="X34" i="16"/>
  <c r="E84" i="17"/>
  <c r="E87" i="17" s="1"/>
  <c r="N33" i="16"/>
  <c r="C132" i="17"/>
  <c r="C135" i="17" s="1"/>
  <c r="X31" i="16"/>
  <c r="F141" i="17"/>
  <c r="F145" i="17" s="1"/>
  <c r="E145" i="17"/>
  <c r="D145" i="17"/>
  <c r="F93" i="17"/>
  <c r="F97" i="17" s="1"/>
  <c r="E97" i="17"/>
  <c r="D97" i="17"/>
  <c r="AJ16" i="25"/>
  <c r="AJ137" i="25" s="1"/>
  <c r="Y14" i="16" s="1"/>
  <c r="AL16" i="25"/>
  <c r="AO116" i="25"/>
  <c r="AQ116" i="25"/>
  <c r="AX116" i="25" s="1"/>
  <c r="BE116" i="25" s="1"/>
  <c r="BL116" i="25" s="1"/>
  <c r="AO83" i="25"/>
  <c r="AQ83" i="25"/>
  <c r="AX83" i="25" s="1"/>
  <c r="BE83" i="25" s="1"/>
  <c r="BL83" i="25" s="1"/>
  <c r="AO49" i="25"/>
  <c r="AQ49" i="25"/>
  <c r="AX49" i="25" s="1"/>
  <c r="BE49" i="25" s="1"/>
  <c r="BL49" i="25" s="1"/>
  <c r="AS16" i="25" l="1"/>
  <c r="AL137" i="25"/>
  <c r="AA14" i="16" s="1"/>
  <c r="Y15" i="16"/>
  <c r="Y14" i="19" s="1"/>
  <c r="Y13" i="19"/>
  <c r="V15" i="16"/>
  <c r="V14" i="19" s="1"/>
  <c r="V13" i="19"/>
  <c r="AU16" i="25"/>
  <c r="AN137" i="25"/>
  <c r="AC14" i="16" s="1"/>
  <c r="AO16" i="25"/>
  <c r="AO137" i="25" s="1"/>
  <c r="AD14" i="16" s="1"/>
  <c r="AQ16" i="25"/>
  <c r="AT116" i="25"/>
  <c r="AV116" i="25"/>
  <c r="BC116" i="25" s="1"/>
  <c r="BJ116" i="25" s="1"/>
  <c r="AT83" i="25"/>
  <c r="AV83" i="25"/>
  <c r="BC83" i="25" s="1"/>
  <c r="BJ83" i="25" s="1"/>
  <c r="AV49" i="25"/>
  <c r="BC49" i="25" s="1"/>
  <c r="BJ49" i="25" s="1"/>
  <c r="AT49" i="25"/>
  <c r="AC15" i="16" l="1"/>
  <c r="AC14" i="19" s="1"/>
  <c r="AC13" i="19"/>
  <c r="BB16" i="25"/>
  <c r="BB137" i="25" s="1"/>
  <c r="AQ14" i="16" s="1"/>
  <c r="AU137" i="25"/>
  <c r="AJ14" i="16" s="1"/>
  <c r="AX16" i="25"/>
  <c r="AQ137" i="25"/>
  <c r="AF14" i="16" s="1"/>
  <c r="AA15" i="16"/>
  <c r="AA14" i="19" s="1"/>
  <c r="AA13" i="19"/>
  <c r="AD15" i="16"/>
  <c r="AD14" i="19" s="1"/>
  <c r="AD13" i="19"/>
  <c r="AZ16" i="25"/>
  <c r="AS137" i="25"/>
  <c r="AH14" i="16" s="1"/>
  <c r="AV16" i="25"/>
  <c r="AT16" i="25"/>
  <c r="AT137" i="25" s="1"/>
  <c r="AI14" i="16" s="1"/>
  <c r="BA116" i="25"/>
  <c r="BH116" i="25" s="1"/>
  <c r="AY116" i="25"/>
  <c r="BA83" i="25"/>
  <c r="BH83" i="25" s="1"/>
  <c r="AY83" i="25"/>
  <c r="BA49" i="25"/>
  <c r="BH49" i="25" s="1"/>
  <c r="AY49" i="25"/>
  <c r="AH15" i="16" l="1"/>
  <c r="AH14" i="19" s="1"/>
  <c r="AH13" i="19"/>
  <c r="AF15" i="16"/>
  <c r="AF14" i="19" s="1"/>
  <c r="AF13" i="19"/>
  <c r="AI15" i="16"/>
  <c r="AI14" i="19" s="1"/>
  <c r="AI13" i="19"/>
  <c r="BC16" i="25"/>
  <c r="AV137" i="25"/>
  <c r="AK14" i="16" s="1"/>
  <c r="BE16" i="25"/>
  <c r="AX137" i="25"/>
  <c r="AM14" i="16" s="1"/>
  <c r="AJ15" i="16"/>
  <c r="AJ14" i="19" s="1"/>
  <c r="AJ13" i="19"/>
  <c r="AQ15" i="16"/>
  <c r="AQ14" i="19" s="1"/>
  <c r="AQ13" i="19"/>
  <c r="BG16" i="25"/>
  <c r="BG137" i="25" s="1"/>
  <c r="AV14" i="16" s="1"/>
  <c r="AZ137" i="25"/>
  <c r="AO14" i="16" s="1"/>
  <c r="BA16" i="25"/>
  <c r="AY16" i="25"/>
  <c r="AY137" i="25" s="1"/>
  <c r="AN14" i="16" s="1"/>
  <c r="BD116" i="25"/>
  <c r="BF116" i="25"/>
  <c r="BF83" i="25"/>
  <c r="BD83" i="25"/>
  <c r="BD49" i="25"/>
  <c r="BF49" i="25"/>
  <c r="AK15" i="16" l="1"/>
  <c r="AK14" i="19" s="1"/>
  <c r="AK13" i="19"/>
  <c r="AV15" i="16"/>
  <c r="AV14" i="19" s="1"/>
  <c r="AV13" i="19"/>
  <c r="BJ16" i="25"/>
  <c r="BJ137" i="25" s="1"/>
  <c r="AY14" i="16" s="1"/>
  <c r="BC137" i="25"/>
  <c r="AR14" i="16" s="1"/>
  <c r="AO15" i="16"/>
  <c r="AO14" i="19" s="1"/>
  <c r="AO13" i="19"/>
  <c r="AM15" i="16"/>
  <c r="AM14" i="19" s="1"/>
  <c r="AM13" i="19"/>
  <c r="AN15" i="16"/>
  <c r="AN14" i="19" s="1"/>
  <c r="AN13" i="19"/>
  <c r="BH16" i="25"/>
  <c r="BH137" i="25" s="1"/>
  <c r="AW14" i="16" s="1"/>
  <c r="BA137" i="25"/>
  <c r="AP14" i="16" s="1"/>
  <c r="BL16" i="25"/>
  <c r="BL137" i="25" s="1"/>
  <c r="BA14" i="16" s="1"/>
  <c r="BE137" i="25"/>
  <c r="AT14" i="16" s="1"/>
  <c r="BD16" i="25"/>
  <c r="BD137" i="25" s="1"/>
  <c r="AS14" i="16" s="1"/>
  <c r="BF16" i="25"/>
  <c r="BF137" i="25" s="1"/>
  <c r="AU14" i="16" s="1"/>
  <c r="BI116" i="25"/>
  <c r="BK116" i="25"/>
  <c r="BI83" i="25"/>
  <c r="BK83" i="25"/>
  <c r="BI49" i="25"/>
  <c r="BK49" i="25"/>
  <c r="AT15" i="16" l="1"/>
  <c r="AT14" i="19" s="1"/>
  <c r="AT13" i="19"/>
  <c r="AP15" i="16"/>
  <c r="AP14" i="19" s="1"/>
  <c r="AP13" i="19"/>
  <c r="AR15" i="16"/>
  <c r="AR14" i="19" s="1"/>
  <c r="AR13" i="19"/>
  <c r="BA15" i="16"/>
  <c r="BA14" i="19" s="1"/>
  <c r="BA13" i="19"/>
  <c r="AY15" i="16"/>
  <c r="AY14" i="19" s="1"/>
  <c r="AY13" i="19"/>
  <c r="AW15" i="16"/>
  <c r="AW14" i="19" s="1"/>
  <c r="AW13" i="19"/>
  <c r="AU15" i="16"/>
  <c r="AU14" i="19" s="1"/>
  <c r="AU13" i="19"/>
  <c r="AS15" i="16"/>
  <c r="AS14" i="19" s="1"/>
  <c r="AS13" i="19"/>
  <c r="BI16" i="25"/>
  <c r="BI137" i="25" s="1"/>
  <c r="AX14" i="16" s="1"/>
  <c r="BK16" i="25"/>
  <c r="BK137" i="25" s="1"/>
  <c r="AZ14" i="16" s="1"/>
  <c r="AZ15" i="16" l="1"/>
  <c r="AZ14" i="19" s="1"/>
  <c r="AZ13" i="19"/>
  <c r="AX15" i="16"/>
  <c r="AX14" i="19" s="1"/>
  <c r="AX13" i="19"/>
  <c r="J19" i="16"/>
  <c r="K19" i="16" s="1"/>
  <c r="L19" i="16" s="1"/>
  <c r="M19" i="16" s="1"/>
  <c r="N19" i="16" s="1"/>
  <c r="O19" i="16" s="1"/>
  <c r="P19" i="16" s="1"/>
  <c r="Q19" i="16" s="1"/>
  <c r="R19" i="16" s="1"/>
  <c r="S19" i="16" s="1"/>
  <c r="T19" i="16" s="1"/>
  <c r="U19" i="16" s="1"/>
  <c r="V19" i="16" s="1"/>
  <c r="W19" i="16" s="1"/>
  <c r="X19" i="16" s="1"/>
  <c r="Y19" i="16" s="1"/>
  <c r="Z19" i="16" s="1"/>
  <c r="AA19" i="16" s="1"/>
  <c r="AB19" i="16" s="1"/>
  <c r="AC19" i="16" s="1"/>
  <c r="AD19" i="16" s="1"/>
  <c r="AE19" i="16" s="1"/>
  <c r="AF19" i="16" s="1"/>
  <c r="AG19" i="16" s="1"/>
  <c r="AH19" i="16" s="1"/>
  <c r="AI19" i="16" s="1"/>
  <c r="AJ19" i="16" s="1"/>
  <c r="AK19" i="16" s="1"/>
  <c r="AL19" i="16" s="1"/>
  <c r="AM19" i="16" s="1"/>
  <c r="AN19" i="16" s="1"/>
  <c r="AO19" i="16" s="1"/>
  <c r="AP19" i="16" s="1"/>
  <c r="AQ19" i="16" s="1"/>
  <c r="AR19" i="16" s="1"/>
  <c r="AS19" i="16" s="1"/>
  <c r="AT19" i="16" s="1"/>
  <c r="AU19" i="16" s="1"/>
  <c r="AV19" i="16" s="1"/>
  <c r="AW19" i="16" s="1"/>
  <c r="AX19" i="16" s="1"/>
  <c r="AY19" i="16" s="1"/>
  <c r="AZ19" i="16" s="1"/>
  <c r="BA19" i="16" s="1"/>
  <c r="J18" i="16"/>
  <c r="K18" i="16" s="1"/>
  <c r="L18" i="16" s="1"/>
  <c r="M18" i="16" s="1"/>
  <c r="N18" i="16" s="1"/>
  <c r="O18" i="16" s="1"/>
  <c r="P18" i="16" s="1"/>
  <c r="Q18" i="16" s="1"/>
  <c r="R18" i="16" s="1"/>
  <c r="S18" i="16" s="1"/>
  <c r="T18" i="16" s="1"/>
  <c r="U18" i="16" s="1"/>
  <c r="V18" i="16" s="1"/>
  <c r="W18" i="16" s="1"/>
  <c r="X18" i="16" s="1"/>
  <c r="Y18" i="16" s="1"/>
  <c r="Z18" i="16" s="1"/>
  <c r="AA18" i="16" s="1"/>
  <c r="AB18" i="16" s="1"/>
  <c r="AC18" i="16" s="1"/>
  <c r="AD18" i="16" s="1"/>
  <c r="AE18" i="16" s="1"/>
  <c r="AF18" i="16" s="1"/>
  <c r="AG18" i="16" s="1"/>
  <c r="AH18" i="16" s="1"/>
  <c r="AI18" i="16" s="1"/>
  <c r="AJ18" i="16" s="1"/>
  <c r="AK18" i="16" s="1"/>
  <c r="AL18" i="16" s="1"/>
  <c r="AM18" i="16" s="1"/>
  <c r="AN18" i="16" s="1"/>
  <c r="AO18" i="16" s="1"/>
  <c r="AP18" i="16" s="1"/>
  <c r="AQ18" i="16" s="1"/>
  <c r="AR18" i="16" s="1"/>
  <c r="AS18" i="16" s="1"/>
  <c r="AT18" i="16" s="1"/>
  <c r="AU18" i="16" s="1"/>
  <c r="AV18" i="16" s="1"/>
  <c r="AW18" i="16" s="1"/>
  <c r="AX18" i="16" s="1"/>
  <c r="AY18" i="16" s="1"/>
  <c r="AZ18" i="16" s="1"/>
  <c r="BA18" i="16" s="1"/>
  <c r="I19" i="16"/>
  <c r="I18" i="16"/>
  <c r="C19" i="16"/>
  <c r="C18" i="16"/>
  <c r="B6" i="19" l="1"/>
  <c r="C6" i="19"/>
  <c r="D6" i="19"/>
  <c r="E6" i="19"/>
  <c r="F6" i="19"/>
  <c r="G6" i="19"/>
  <c r="H6" i="19"/>
  <c r="B7" i="19"/>
  <c r="D7" i="19"/>
  <c r="E7" i="19"/>
  <c r="F7" i="19"/>
  <c r="G7" i="19"/>
  <c r="H7" i="19"/>
  <c r="B8" i="19"/>
  <c r="D8" i="19"/>
  <c r="E8" i="19"/>
  <c r="F8" i="19"/>
  <c r="G8" i="19"/>
  <c r="H8" i="19"/>
  <c r="B9" i="19"/>
  <c r="D9" i="19"/>
  <c r="E9" i="19"/>
  <c r="F9" i="19"/>
  <c r="G9" i="19"/>
  <c r="H9" i="19"/>
  <c r="B10" i="19"/>
  <c r="D10" i="19"/>
  <c r="E10" i="19"/>
  <c r="F10" i="19"/>
  <c r="G10" i="19"/>
  <c r="H10" i="19"/>
  <c r="B11" i="19"/>
  <c r="D11" i="19"/>
  <c r="E11" i="19"/>
  <c r="F11" i="19"/>
  <c r="G11" i="19"/>
  <c r="H11" i="19"/>
  <c r="B12" i="19"/>
  <c r="D12" i="19"/>
  <c r="E12" i="19"/>
  <c r="F12" i="19"/>
  <c r="G12" i="19"/>
  <c r="H12" i="19"/>
  <c r="B14" i="19"/>
  <c r="B15" i="19"/>
  <c r="C15" i="19"/>
  <c r="D15" i="19"/>
  <c r="E15" i="19"/>
  <c r="F15" i="19"/>
  <c r="G15" i="19"/>
  <c r="H15" i="19"/>
  <c r="B16" i="19"/>
  <c r="C16" i="19"/>
  <c r="D16" i="19"/>
  <c r="E16" i="19"/>
  <c r="F16" i="19"/>
  <c r="G16" i="19"/>
  <c r="H16" i="19"/>
  <c r="B17" i="19"/>
  <c r="C17" i="19"/>
  <c r="D17" i="19"/>
  <c r="E17" i="19"/>
  <c r="F17" i="19"/>
  <c r="G17" i="19"/>
  <c r="H17" i="19"/>
  <c r="B18" i="19"/>
  <c r="C18" i="19"/>
  <c r="D18" i="19"/>
  <c r="E18" i="19"/>
  <c r="F18" i="19"/>
  <c r="G18" i="19"/>
  <c r="H18" i="19"/>
  <c r="B19" i="19"/>
  <c r="C25" i="19"/>
  <c r="D25" i="19"/>
  <c r="E25" i="19"/>
  <c r="F25" i="19"/>
  <c r="G25" i="19"/>
  <c r="H25" i="19"/>
  <c r="G36" i="19"/>
  <c r="C36" i="19"/>
  <c r="F36" i="19"/>
  <c r="E36" i="19"/>
  <c r="D36" i="19"/>
  <c r="H36" i="19"/>
  <c r="I17" i="19" l="1"/>
  <c r="A17" i="19" l="1"/>
  <c r="A12" i="19"/>
  <c r="A11" i="19"/>
  <c r="A10" i="19"/>
  <c r="A9" i="19"/>
  <c r="A8" i="19"/>
  <c r="A7" i="19"/>
  <c r="BA12" i="19"/>
  <c r="AZ12" i="19"/>
  <c r="AY12" i="19"/>
  <c r="AX12" i="19"/>
  <c r="AW12" i="19"/>
  <c r="AR12" i="19"/>
  <c r="AQ12" i="19"/>
  <c r="AP12" i="19"/>
  <c r="AO12" i="19"/>
  <c r="AN12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BA11" i="19"/>
  <c r="AZ11" i="19"/>
  <c r="AY11" i="19"/>
  <c r="AX11" i="19"/>
  <c r="AW11" i="19"/>
  <c r="AR11" i="19"/>
  <c r="AQ11" i="19"/>
  <c r="AP11" i="19"/>
  <c r="AO11" i="19"/>
  <c r="AN11" i="19"/>
  <c r="AM11" i="19"/>
  <c r="AL11" i="19"/>
  <c r="AK11" i="19"/>
  <c r="AJ11" i="19"/>
  <c r="AI11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BA10" i="19"/>
  <c r="AZ10" i="19"/>
  <c r="AY10" i="19"/>
  <c r="AX10" i="19"/>
  <c r="AW10" i="19"/>
  <c r="AR10" i="19"/>
  <c r="AQ10" i="19"/>
  <c r="AP10" i="19"/>
  <c r="AO10" i="19"/>
  <c r="AN10" i="19"/>
  <c r="AM10" i="19"/>
  <c r="AL10" i="19"/>
  <c r="AK10" i="19"/>
  <c r="AJ10" i="19"/>
  <c r="AI10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BA9" i="19"/>
  <c r="AZ9" i="19"/>
  <c r="AY9" i="19"/>
  <c r="AX9" i="19"/>
  <c r="AW9" i="19"/>
  <c r="AR9" i="19"/>
  <c r="AQ9" i="19"/>
  <c r="AP9" i="19"/>
  <c r="AO9" i="19"/>
  <c r="AN9" i="19"/>
  <c r="AM9" i="19"/>
  <c r="AL9" i="19"/>
  <c r="AK9" i="19"/>
  <c r="AJ9" i="19"/>
  <c r="AI9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BA8" i="19"/>
  <c r="AZ8" i="19"/>
  <c r="AY8" i="19"/>
  <c r="AX8" i="19"/>
  <c r="AW8" i="19"/>
  <c r="AQ8" i="19"/>
  <c r="AP8" i="19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BA7" i="19"/>
  <c r="AZ7" i="19"/>
  <c r="AY7" i="19"/>
  <c r="AX7" i="19"/>
  <c r="AW7" i="19"/>
  <c r="AR7" i="19"/>
  <c r="AQ7" i="19"/>
  <c r="AP7" i="19"/>
  <c r="AO7" i="19"/>
  <c r="AN7" i="19"/>
  <c r="AM7" i="19"/>
  <c r="AL7" i="19"/>
  <c r="AK7" i="19"/>
  <c r="AJ7" i="19"/>
  <c r="AI7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AS11" i="19"/>
  <c r="AT11" i="19"/>
  <c r="AU11" i="19"/>
  <c r="AV11" i="19"/>
  <c r="AS12" i="19"/>
  <c r="AT12" i="19"/>
  <c r="AU12" i="19"/>
  <c r="AV12" i="19"/>
  <c r="AS8" i="19"/>
  <c r="AT8" i="19"/>
  <c r="AU8" i="19"/>
  <c r="AV8" i="19"/>
  <c r="AR8" i="19"/>
  <c r="AS7" i="19"/>
  <c r="AT7" i="19"/>
  <c r="AU7" i="19"/>
  <c r="AV7" i="19"/>
  <c r="AS9" i="19"/>
  <c r="AT9" i="19"/>
  <c r="AU9" i="19"/>
  <c r="AV9" i="19"/>
  <c r="AS10" i="19"/>
  <c r="AT10" i="19"/>
  <c r="AU10" i="19"/>
  <c r="AV10" i="19"/>
  <c r="J17" i="19" l="1"/>
  <c r="E42" i="17"/>
  <c r="F42" i="17"/>
  <c r="D42" i="17"/>
  <c r="K17" i="19" l="1"/>
  <c r="L17" i="19" l="1"/>
  <c r="J18" i="15"/>
  <c r="I18" i="15"/>
  <c r="H18" i="15"/>
  <c r="G18" i="15"/>
  <c r="F18" i="15"/>
  <c r="E18" i="15"/>
  <c r="J17" i="15"/>
  <c r="I17" i="15"/>
  <c r="H17" i="15"/>
  <c r="G17" i="15"/>
  <c r="F17" i="15"/>
  <c r="E17" i="15"/>
  <c r="D18" i="15"/>
  <c r="D17" i="15"/>
  <c r="M17" i="19" l="1"/>
  <c r="C20" i="16"/>
  <c r="C19" i="19" s="1"/>
  <c r="C13" i="16"/>
  <c r="C12" i="19" s="1"/>
  <c r="C12" i="16"/>
  <c r="C11" i="19" s="1"/>
  <c r="C11" i="16"/>
  <c r="C10" i="19" s="1"/>
  <c r="C10" i="16"/>
  <c r="C9" i="16"/>
  <c r="C8" i="19" s="1"/>
  <c r="C8" i="16"/>
  <c r="C7" i="19" s="1"/>
  <c r="C15" i="16" l="1"/>
  <c r="C14" i="19" s="1"/>
  <c r="C9" i="19"/>
  <c r="N17" i="19"/>
  <c r="H20" i="16"/>
  <c r="H19" i="19" s="1"/>
  <c r="G20" i="16"/>
  <c r="G19" i="19" s="1"/>
  <c r="F20" i="16"/>
  <c r="F19" i="19" s="1"/>
  <c r="E20" i="16"/>
  <c r="E19" i="19" s="1"/>
  <c r="D20" i="16"/>
  <c r="D19" i="19" s="1"/>
  <c r="O17" i="19" l="1"/>
  <c r="P17" i="19" l="1"/>
  <c r="J19" i="19"/>
  <c r="J21" i="19" s="1"/>
  <c r="F33" i="17"/>
  <c r="E33" i="17"/>
  <c r="D33" i="17"/>
  <c r="C33" i="17"/>
  <c r="Q17" i="19" l="1"/>
  <c r="I19" i="19"/>
  <c r="I21" i="19" s="1"/>
  <c r="K19" i="19"/>
  <c r="K21" i="19" s="1"/>
  <c r="R17" i="19" l="1"/>
  <c r="L19" i="19"/>
  <c r="L21" i="19" s="1"/>
  <c r="M19" i="19"/>
  <c r="M21" i="19" s="1"/>
  <c r="S17" i="19" l="1"/>
  <c r="K25" i="17"/>
  <c r="C25" i="17"/>
  <c r="K24" i="17"/>
  <c r="C24" i="17"/>
  <c r="K23" i="17"/>
  <c r="C23" i="17"/>
  <c r="K22" i="17"/>
  <c r="C22" i="17"/>
  <c r="K21" i="17"/>
  <c r="C21" i="17"/>
  <c r="K20" i="17"/>
  <c r="C20" i="17"/>
  <c r="J12" i="17"/>
  <c r="K12" i="17" s="1"/>
  <c r="L12" i="17" s="1"/>
  <c r="M12" i="17" s="1"/>
  <c r="D12" i="17"/>
  <c r="E12" i="17" s="1"/>
  <c r="F12" i="17" s="1"/>
  <c r="J11" i="17"/>
  <c r="K11" i="17" s="1"/>
  <c r="L11" i="17" s="1"/>
  <c r="M11" i="17" s="1"/>
  <c r="D11" i="17"/>
  <c r="E11" i="17" s="1"/>
  <c r="F11" i="17" s="1"/>
  <c r="J10" i="17"/>
  <c r="K10" i="17" s="1"/>
  <c r="L10" i="17" s="1"/>
  <c r="M10" i="17" s="1"/>
  <c r="D10" i="17"/>
  <c r="E10" i="17" s="1"/>
  <c r="F10" i="17" s="1"/>
  <c r="J9" i="17"/>
  <c r="K9" i="17" s="1"/>
  <c r="L9" i="17" s="1"/>
  <c r="M9" i="17" s="1"/>
  <c r="D9" i="17"/>
  <c r="E9" i="17" s="1"/>
  <c r="F9" i="17" s="1"/>
  <c r="J8" i="17"/>
  <c r="K8" i="17" s="1"/>
  <c r="L8" i="17" s="1"/>
  <c r="M8" i="17" s="1"/>
  <c r="D8" i="17"/>
  <c r="E8" i="17" s="1"/>
  <c r="F8" i="17" s="1"/>
  <c r="J7" i="17"/>
  <c r="K7" i="17" s="1"/>
  <c r="D7" i="17"/>
  <c r="E7" i="17" s="1"/>
  <c r="F7" i="17" s="1"/>
  <c r="J46" i="15"/>
  <c r="I46" i="15"/>
  <c r="H46" i="15"/>
  <c r="G46" i="15"/>
  <c r="F46" i="15"/>
  <c r="E46" i="15"/>
  <c r="D46" i="15"/>
  <c r="J44" i="15"/>
  <c r="I44" i="15"/>
  <c r="H44" i="15"/>
  <c r="G44" i="15"/>
  <c r="F44" i="15"/>
  <c r="E44" i="15"/>
  <c r="D44" i="15"/>
  <c r="J42" i="15"/>
  <c r="I42" i="15"/>
  <c r="H42" i="15"/>
  <c r="G42" i="15"/>
  <c r="F42" i="15"/>
  <c r="E42" i="15"/>
  <c r="D42" i="15"/>
  <c r="E40" i="15"/>
  <c r="F40" i="15"/>
  <c r="G40" i="15"/>
  <c r="H40" i="15"/>
  <c r="H49" i="15" s="1"/>
  <c r="I40" i="15"/>
  <c r="J40" i="15"/>
  <c r="D40" i="15"/>
  <c r="J45" i="15"/>
  <c r="I45" i="15"/>
  <c r="H45" i="15"/>
  <c r="G45" i="15"/>
  <c r="F45" i="15"/>
  <c r="E45" i="15"/>
  <c r="D45" i="15"/>
  <c r="J43" i="15"/>
  <c r="I43" i="15"/>
  <c r="H43" i="15"/>
  <c r="G43" i="15"/>
  <c r="F43" i="15"/>
  <c r="E43" i="15"/>
  <c r="D43" i="15"/>
  <c r="J41" i="15"/>
  <c r="I41" i="15"/>
  <c r="H41" i="15"/>
  <c r="G41" i="15"/>
  <c r="F41" i="15"/>
  <c r="E41" i="15"/>
  <c r="D41" i="15"/>
  <c r="I26" i="16" s="1"/>
  <c r="J39" i="15"/>
  <c r="I39" i="15"/>
  <c r="H39" i="15"/>
  <c r="G39" i="15"/>
  <c r="F39" i="15"/>
  <c r="E39" i="15"/>
  <c r="D39" i="15"/>
  <c r="H48" i="15" l="1"/>
  <c r="D49" i="15"/>
  <c r="D48" i="15"/>
  <c r="G49" i="15"/>
  <c r="T17" i="19"/>
  <c r="L22" i="17"/>
  <c r="D21" i="17"/>
  <c r="D23" i="17"/>
  <c r="D25" i="17"/>
  <c r="D20" i="17"/>
  <c r="D22" i="17"/>
  <c r="D24" i="17"/>
  <c r="L24" i="17"/>
  <c r="L21" i="17"/>
  <c r="L23" i="17"/>
  <c r="L25" i="17"/>
  <c r="F49" i="15"/>
  <c r="J49" i="15"/>
  <c r="I49" i="15"/>
  <c r="E49" i="15"/>
  <c r="E48" i="15"/>
  <c r="I48" i="15"/>
  <c r="F48" i="15"/>
  <c r="J48" i="15"/>
  <c r="G48" i="15"/>
  <c r="K13" i="17"/>
  <c r="K14" i="17" s="1"/>
  <c r="D44" i="17" s="1"/>
  <c r="E44" i="17" s="1"/>
  <c r="F44" i="17" s="1"/>
  <c r="K26" i="17"/>
  <c r="E20" i="17"/>
  <c r="E13" i="17"/>
  <c r="F13" i="17"/>
  <c r="F14" i="17" s="1"/>
  <c r="L7" i="17"/>
  <c r="M7" i="17" s="1"/>
  <c r="D13" i="17"/>
  <c r="D14" i="17" s="1"/>
  <c r="D43" i="17" s="1"/>
  <c r="L20" i="17"/>
  <c r="E43" i="17" l="1"/>
  <c r="U17" i="19"/>
  <c r="F20" i="17"/>
  <c r="M23" i="17"/>
  <c r="M24" i="17"/>
  <c r="E22" i="17"/>
  <c r="E25" i="17"/>
  <c r="E21" i="17"/>
  <c r="D26" i="17"/>
  <c r="K27" i="17"/>
  <c r="D46" i="17" s="1"/>
  <c r="E46" i="17" s="1"/>
  <c r="F46" i="17" s="1"/>
  <c r="M25" i="17"/>
  <c r="M21" i="17"/>
  <c r="E24" i="17"/>
  <c r="E23" i="17"/>
  <c r="M22" i="17"/>
  <c r="M20" i="17"/>
  <c r="M26" i="17" s="1"/>
  <c r="D15" i="17"/>
  <c r="D16" i="17" s="1"/>
  <c r="L13" i="17"/>
  <c r="M13" i="17"/>
  <c r="M14" i="17" s="1"/>
  <c r="L26" i="17"/>
  <c r="F43" i="17" l="1"/>
  <c r="V17" i="19"/>
  <c r="M27" i="17"/>
  <c r="K15" i="17"/>
  <c r="F23" i="17"/>
  <c r="D27" i="17"/>
  <c r="D45" i="17" s="1"/>
  <c r="F25" i="17"/>
  <c r="F24" i="17"/>
  <c r="E26" i="17"/>
  <c r="F21" i="17"/>
  <c r="F22" i="17"/>
  <c r="C34" i="17"/>
  <c r="C37" i="17" s="1"/>
  <c r="H35" i="16"/>
  <c r="G35" i="16"/>
  <c r="F35" i="16"/>
  <c r="E35" i="16"/>
  <c r="D35" i="16"/>
  <c r="E45" i="17" l="1"/>
  <c r="D47" i="17"/>
  <c r="W17" i="19"/>
  <c r="F26" i="17"/>
  <c r="K16" i="17"/>
  <c r="K28" i="17"/>
  <c r="I25" i="19"/>
  <c r="F45" i="17" l="1"/>
  <c r="F47" i="17" s="1"/>
  <c r="E47" i="17"/>
  <c r="X17" i="19"/>
  <c r="D34" i="17"/>
  <c r="D37" i="17" s="1"/>
  <c r="F27" i="17"/>
  <c r="K29" i="17"/>
  <c r="J25" i="19"/>
  <c r="Y17" i="19" l="1"/>
  <c r="F34" i="17"/>
  <c r="F37" i="17" s="1"/>
  <c r="D28" i="17"/>
  <c r="K25" i="19"/>
  <c r="Z17" i="19" l="1"/>
  <c r="D29" i="17"/>
  <c r="L25" i="19"/>
  <c r="N19" i="19"/>
  <c r="N21" i="19" s="1"/>
  <c r="AA17" i="19" l="1"/>
  <c r="E34" i="17"/>
  <c r="E37" i="17" s="1"/>
  <c r="O19" i="19"/>
  <c r="O21" i="19" s="1"/>
  <c r="M25" i="19"/>
  <c r="AB17" i="19" l="1"/>
  <c r="P19" i="19"/>
  <c r="P21" i="19" s="1"/>
  <c r="N25" i="19"/>
  <c r="AC17" i="19" l="1"/>
  <c r="O25" i="19"/>
  <c r="Q19" i="19"/>
  <c r="Q21" i="19" s="1"/>
  <c r="AD17" i="19" l="1"/>
  <c r="R19" i="19"/>
  <c r="R21" i="19" s="1"/>
  <c r="P25" i="19"/>
  <c r="AE17" i="19" l="1"/>
  <c r="Q25" i="19"/>
  <c r="S19" i="19"/>
  <c r="S21" i="19" s="1"/>
  <c r="AF17" i="19" l="1"/>
  <c r="T19" i="19"/>
  <c r="T21" i="19" s="1"/>
  <c r="R25" i="19"/>
  <c r="AG17" i="19" l="1"/>
  <c r="S25" i="19"/>
  <c r="U19" i="19"/>
  <c r="U21" i="19" s="1"/>
  <c r="AH17" i="19" l="1"/>
  <c r="V19" i="19"/>
  <c r="V21" i="19" s="1"/>
  <c r="T25" i="19"/>
  <c r="AI17" i="19" l="1"/>
  <c r="U25" i="19"/>
  <c r="W19" i="19"/>
  <c r="W21" i="19" s="1"/>
  <c r="AJ17" i="19" l="1"/>
  <c r="X19" i="19"/>
  <c r="X21" i="19" s="1"/>
  <c r="V25" i="19"/>
  <c r="AK17" i="19" l="1"/>
  <c r="W25" i="19"/>
  <c r="Y19" i="19"/>
  <c r="Y21" i="19" s="1"/>
  <c r="AL17" i="19" l="1"/>
  <c r="Z19" i="19"/>
  <c r="Z21" i="19" s="1"/>
  <c r="X25" i="19"/>
  <c r="AM17" i="19" l="1"/>
  <c r="AA19" i="19"/>
  <c r="AA21" i="19" s="1"/>
  <c r="Y25" i="19"/>
  <c r="AN17" i="19" l="1"/>
  <c r="Z25" i="19"/>
  <c r="AB19" i="19"/>
  <c r="AB21" i="19" s="1"/>
  <c r="AO17" i="19" l="1"/>
  <c r="AA25" i="19"/>
  <c r="AC19" i="19"/>
  <c r="AC21" i="19" s="1"/>
  <c r="AP17" i="19" l="1"/>
  <c r="AD19" i="19"/>
  <c r="AD21" i="19" s="1"/>
  <c r="AB25" i="19"/>
  <c r="AQ17" i="19" l="1"/>
  <c r="AE19" i="19"/>
  <c r="AE21" i="19" s="1"/>
  <c r="AC25" i="19"/>
  <c r="AR17" i="19" l="1"/>
  <c r="AD25" i="19"/>
  <c r="AF19" i="19"/>
  <c r="AF21" i="19" s="1"/>
  <c r="AS17" i="19" l="1"/>
  <c r="AG19" i="19"/>
  <c r="AG21" i="19" s="1"/>
  <c r="AE25" i="19"/>
  <c r="AT17" i="19" l="1"/>
  <c r="AH19" i="19"/>
  <c r="AH21" i="19" s="1"/>
  <c r="AF25" i="19"/>
  <c r="AU17" i="19" l="1"/>
  <c r="AI19" i="19"/>
  <c r="AI21" i="19" s="1"/>
  <c r="AG25" i="19"/>
  <c r="AV17" i="19" l="1"/>
  <c r="AH25" i="19"/>
  <c r="AJ19" i="19"/>
  <c r="AJ21" i="19" s="1"/>
  <c r="AW17" i="19" l="1"/>
  <c r="AK19" i="19"/>
  <c r="AK21" i="19" s="1"/>
  <c r="AI25" i="19"/>
  <c r="AX17" i="19" l="1"/>
  <c r="AJ25" i="19"/>
  <c r="AL19" i="19"/>
  <c r="AL21" i="19" s="1"/>
  <c r="AY17" i="19" l="1"/>
  <c r="AK25" i="19"/>
  <c r="AM19" i="19"/>
  <c r="AM21" i="19" s="1"/>
  <c r="BA17" i="19" l="1"/>
  <c r="AZ17" i="19"/>
  <c r="AL25" i="19"/>
  <c r="AN19" i="19"/>
  <c r="AN21" i="19" s="1"/>
  <c r="AO19" i="19" l="1"/>
  <c r="AO21" i="19" s="1"/>
  <c r="AM25" i="19"/>
  <c r="AP19" i="19" l="1"/>
  <c r="AP21" i="19" s="1"/>
  <c r="AN25" i="19"/>
  <c r="AQ19" i="19" l="1"/>
  <c r="AQ21" i="19" s="1"/>
  <c r="AO25" i="19"/>
  <c r="AP25" i="19" l="1"/>
  <c r="AR19" i="19"/>
  <c r="AR21" i="19" s="1"/>
  <c r="AS19" i="19" l="1"/>
  <c r="AS21" i="19" s="1"/>
  <c r="AQ25" i="19"/>
  <c r="AT19" i="19" l="1"/>
  <c r="AT21" i="19" s="1"/>
  <c r="AR25" i="19"/>
  <c r="AS25" i="19" l="1"/>
  <c r="AU19" i="19"/>
  <c r="AU21" i="19" s="1"/>
  <c r="AV19" i="19" l="1"/>
  <c r="AV21" i="19" s="1"/>
  <c r="AT25" i="19"/>
  <c r="I3" i="16"/>
  <c r="J3" i="16" s="1"/>
  <c r="K3" i="16" s="1"/>
  <c r="L3" i="16" s="1"/>
  <c r="M3" i="16" s="1"/>
  <c r="N3" i="16" s="1"/>
  <c r="O3" i="16" s="1"/>
  <c r="P3" i="16" s="1"/>
  <c r="Q3" i="16" s="1"/>
  <c r="R3" i="16" s="1"/>
  <c r="S3" i="16" s="1"/>
  <c r="T3" i="16" s="1"/>
  <c r="U3" i="16" s="1"/>
  <c r="V3" i="16" s="1"/>
  <c r="W3" i="16" s="1"/>
  <c r="X3" i="16" s="1"/>
  <c r="Y3" i="16" s="1"/>
  <c r="Z3" i="16" s="1"/>
  <c r="AA3" i="16" s="1"/>
  <c r="AB3" i="16" s="1"/>
  <c r="AC3" i="16" s="1"/>
  <c r="AD3" i="16" s="1"/>
  <c r="AE3" i="16" s="1"/>
  <c r="AF3" i="16" s="1"/>
  <c r="AG3" i="16" s="1"/>
  <c r="AH3" i="16" s="1"/>
  <c r="AI3" i="16" s="1"/>
  <c r="AJ3" i="16" s="1"/>
  <c r="AK3" i="16" s="1"/>
  <c r="AL3" i="16" s="1"/>
  <c r="AM3" i="16" s="1"/>
  <c r="AN3" i="16" s="1"/>
  <c r="AO3" i="16" s="1"/>
  <c r="AP3" i="16" s="1"/>
  <c r="AQ3" i="16" s="1"/>
  <c r="AR3" i="16" s="1"/>
  <c r="AS3" i="16" s="1"/>
  <c r="AT3" i="16" s="1"/>
  <c r="AU3" i="16" s="1"/>
  <c r="AV3" i="16" s="1"/>
  <c r="AW3" i="16" s="1"/>
  <c r="AX3" i="16" s="1"/>
  <c r="AY3" i="16" s="1"/>
  <c r="AZ3" i="16" s="1"/>
  <c r="BA3" i="16" s="1"/>
  <c r="I34" i="16"/>
  <c r="I35" i="19" s="1"/>
  <c r="I33" i="16"/>
  <c r="I34" i="19" s="1"/>
  <c r="I32" i="16"/>
  <c r="I33" i="19" s="1"/>
  <c r="I31" i="16"/>
  <c r="I32" i="19" s="1"/>
  <c r="D24" i="16"/>
  <c r="E24" i="16"/>
  <c r="F24" i="16"/>
  <c r="G24" i="16"/>
  <c r="BA24" i="16" l="1"/>
  <c r="C22" i="16"/>
  <c r="C21" i="19" s="1"/>
  <c r="J32" i="16"/>
  <c r="C24" i="16"/>
  <c r="J34" i="16"/>
  <c r="AU25" i="19"/>
  <c r="J33" i="16"/>
  <c r="J31" i="16"/>
  <c r="AW19" i="19"/>
  <c r="AW21" i="19" s="1"/>
  <c r="E15" i="16"/>
  <c r="E14" i="19" s="1"/>
  <c r="G15" i="16"/>
  <c r="G14" i="19" s="1"/>
  <c r="H15" i="16"/>
  <c r="H14" i="19" s="1"/>
  <c r="D15" i="16"/>
  <c r="D14" i="19" s="1"/>
  <c r="F15" i="16"/>
  <c r="F14" i="19" s="1"/>
  <c r="L24" i="16"/>
  <c r="P24" i="16"/>
  <c r="T24" i="16"/>
  <c r="X24" i="16"/>
  <c r="AB24" i="16"/>
  <c r="AF24" i="16"/>
  <c r="AJ24" i="16"/>
  <c r="AN24" i="16"/>
  <c r="AR24" i="16"/>
  <c r="AV24" i="16"/>
  <c r="AZ24" i="16"/>
  <c r="J24" i="16"/>
  <c r="N24" i="16"/>
  <c r="R24" i="16"/>
  <c r="V24" i="16"/>
  <c r="Z24" i="16"/>
  <c r="AD24" i="16"/>
  <c r="AH24" i="16"/>
  <c r="AL24" i="16"/>
  <c r="AP24" i="16"/>
  <c r="AT24" i="16"/>
  <c r="AX24" i="16"/>
  <c r="K24" i="16"/>
  <c r="O24" i="16"/>
  <c r="S24" i="16"/>
  <c r="W24" i="16"/>
  <c r="AA24" i="16"/>
  <c r="AE24" i="16"/>
  <c r="AI24" i="16"/>
  <c r="AM24" i="16"/>
  <c r="AQ24" i="16"/>
  <c r="AU24" i="16"/>
  <c r="AY24" i="16"/>
  <c r="H24" i="16"/>
  <c r="I24" i="16"/>
  <c r="M24" i="16"/>
  <c r="Q24" i="16"/>
  <c r="U24" i="16"/>
  <c r="Y24" i="16"/>
  <c r="AC24" i="16"/>
  <c r="AG24" i="16"/>
  <c r="AK24" i="16"/>
  <c r="AO24" i="16"/>
  <c r="AS24" i="16"/>
  <c r="AW24" i="16"/>
  <c r="G22" i="16" l="1"/>
  <c r="D22" i="16"/>
  <c r="H22" i="16"/>
  <c r="H21" i="19" s="1"/>
  <c r="F22" i="16"/>
  <c r="E22" i="16"/>
  <c r="G36" i="16"/>
  <c r="E36" i="16"/>
  <c r="I20" i="16"/>
  <c r="I22" i="16" s="1"/>
  <c r="K32" i="16"/>
  <c r="J33" i="19"/>
  <c r="K34" i="16"/>
  <c r="J35" i="19"/>
  <c r="K31" i="16"/>
  <c r="J32" i="19"/>
  <c r="K33" i="16"/>
  <c r="J34" i="19"/>
  <c r="AV25" i="19"/>
  <c r="AX19" i="19"/>
  <c r="AX21" i="19" s="1"/>
  <c r="J20" i="16"/>
  <c r="J22" i="16" s="1"/>
  <c r="F36" i="16" l="1"/>
  <c r="F21" i="19"/>
  <c r="D21" i="19"/>
  <c r="D36" i="16"/>
  <c r="E21" i="19"/>
  <c r="E38" i="19" s="1"/>
  <c r="G21" i="19"/>
  <c r="G38" i="19" s="1"/>
  <c r="H36" i="16"/>
  <c r="F38" i="19"/>
  <c r="H38" i="19"/>
  <c r="L33" i="16"/>
  <c r="K34" i="19"/>
  <c r="L34" i="16"/>
  <c r="K35" i="19"/>
  <c r="L31" i="16"/>
  <c r="K32" i="19"/>
  <c r="L32" i="16"/>
  <c r="K33" i="19"/>
  <c r="AW25" i="19"/>
  <c r="AY19" i="19"/>
  <c r="AY21" i="19" s="1"/>
  <c r="K20" i="16"/>
  <c r="K22" i="16" s="1"/>
  <c r="D38" i="19" l="1"/>
  <c r="M32" i="16"/>
  <c r="L33" i="19"/>
  <c r="M34" i="16"/>
  <c r="L35" i="19"/>
  <c r="M31" i="16"/>
  <c r="L32" i="19"/>
  <c r="M33" i="16"/>
  <c r="L34" i="19"/>
  <c r="AX25" i="19"/>
  <c r="AZ19" i="19"/>
  <c r="AZ21" i="19" s="1"/>
  <c r="L20" i="16"/>
  <c r="L22" i="16" s="1"/>
  <c r="BA19" i="19" l="1"/>
  <c r="BA21" i="19" s="1"/>
  <c r="M34" i="19"/>
  <c r="M35" i="19"/>
  <c r="M32" i="19"/>
  <c r="M33" i="19"/>
  <c r="AY25" i="19"/>
  <c r="M20" i="16"/>
  <c r="M22" i="16" s="1"/>
  <c r="C22" i="19" l="1"/>
  <c r="C42" i="19"/>
  <c r="C44" i="19"/>
  <c r="C41" i="19"/>
  <c r="C43" i="19"/>
  <c r="C45" i="19"/>
  <c r="O32" i="16"/>
  <c r="N33" i="19"/>
  <c r="O34" i="16"/>
  <c r="N35" i="19"/>
  <c r="O31" i="16"/>
  <c r="N32" i="19"/>
  <c r="O33" i="16"/>
  <c r="N34" i="19"/>
  <c r="AZ25" i="19"/>
  <c r="N20" i="16"/>
  <c r="N22" i="16" s="1"/>
  <c r="BA25" i="19" l="1"/>
  <c r="P33" i="16"/>
  <c r="O34" i="19"/>
  <c r="P34" i="16"/>
  <c r="O35" i="19"/>
  <c r="P31" i="16"/>
  <c r="O32" i="19"/>
  <c r="P32" i="16"/>
  <c r="O33" i="19"/>
  <c r="O20" i="16"/>
  <c r="O22" i="16" s="1"/>
  <c r="J32" i="15"/>
  <c r="I32" i="15"/>
  <c r="H32" i="15"/>
  <c r="G32" i="15"/>
  <c r="F32" i="15"/>
  <c r="E32" i="15"/>
  <c r="D32" i="15"/>
  <c r="J16" i="15"/>
  <c r="I16" i="15"/>
  <c r="H16" i="15"/>
  <c r="G16" i="15"/>
  <c r="F16" i="15"/>
  <c r="E16" i="15"/>
  <c r="D16" i="15"/>
  <c r="Q32" i="16" l="1"/>
  <c r="P33" i="19"/>
  <c r="Q34" i="16"/>
  <c r="P35" i="19"/>
  <c r="Q31" i="16"/>
  <c r="P32" i="19"/>
  <c r="Q33" i="16"/>
  <c r="P34" i="19"/>
  <c r="I27" i="16"/>
  <c r="I28" i="19" s="1"/>
  <c r="I29" i="16"/>
  <c r="I30" i="19" s="1"/>
  <c r="I28" i="16"/>
  <c r="I29" i="19" s="1"/>
  <c r="P20" i="16"/>
  <c r="P22" i="16" s="1"/>
  <c r="E47" i="15"/>
  <c r="I47" i="15"/>
  <c r="G47" i="15"/>
  <c r="I27" i="19"/>
  <c r="D47" i="15"/>
  <c r="H47" i="15"/>
  <c r="F47" i="15"/>
  <c r="J47" i="15"/>
  <c r="R33" i="16" l="1"/>
  <c r="Q34" i="19"/>
  <c r="R34" i="16"/>
  <c r="Q35" i="19"/>
  <c r="R31" i="16"/>
  <c r="Q32" i="19"/>
  <c r="R32" i="16"/>
  <c r="Q33" i="19"/>
  <c r="I36" i="19"/>
  <c r="J28" i="16"/>
  <c r="J29" i="19" s="1"/>
  <c r="J29" i="16"/>
  <c r="J30" i="19" s="1"/>
  <c r="J27" i="16"/>
  <c r="J28" i="19" s="1"/>
  <c r="Q20" i="16"/>
  <c r="Q22" i="16" s="1"/>
  <c r="I35" i="16"/>
  <c r="J26" i="16"/>
  <c r="J27" i="19" s="1"/>
  <c r="I38" i="19" l="1"/>
  <c r="I36" i="16"/>
  <c r="S32" i="16"/>
  <c r="R33" i="19"/>
  <c r="S34" i="16"/>
  <c r="R35" i="19"/>
  <c r="S31" i="16"/>
  <c r="R32" i="19"/>
  <c r="S33" i="16"/>
  <c r="R34" i="19"/>
  <c r="K28" i="16"/>
  <c r="K29" i="19" s="1"/>
  <c r="K29" i="16"/>
  <c r="K30" i="19" s="1"/>
  <c r="K27" i="16"/>
  <c r="K28" i="19" s="1"/>
  <c r="J36" i="19"/>
  <c r="J38" i="19" s="1"/>
  <c r="R20" i="16"/>
  <c r="R22" i="16" s="1"/>
  <c r="K26" i="16"/>
  <c r="K27" i="19" s="1"/>
  <c r="J35" i="16"/>
  <c r="J36" i="16" s="1"/>
  <c r="T33" i="16" l="1"/>
  <c r="S34" i="19"/>
  <c r="T34" i="16"/>
  <c r="S35" i="19"/>
  <c r="T31" i="16"/>
  <c r="S32" i="19"/>
  <c r="T32" i="16"/>
  <c r="S33" i="19"/>
  <c r="L29" i="16"/>
  <c r="L30" i="19" s="1"/>
  <c r="L27" i="16"/>
  <c r="L28" i="19" s="1"/>
  <c r="L28" i="16"/>
  <c r="L29" i="19" s="1"/>
  <c r="L26" i="16"/>
  <c r="L27" i="19" s="1"/>
  <c r="K35" i="16"/>
  <c r="K36" i="16" s="1"/>
  <c r="S20" i="16"/>
  <c r="S22" i="16" s="1"/>
  <c r="U32" i="16" l="1"/>
  <c r="T33" i="19"/>
  <c r="U34" i="16"/>
  <c r="T35" i="19"/>
  <c r="U31" i="16"/>
  <c r="T32" i="19"/>
  <c r="U33" i="16"/>
  <c r="T34" i="19"/>
  <c r="K36" i="19"/>
  <c r="M27" i="16"/>
  <c r="M28" i="19" s="1"/>
  <c r="M28" i="16"/>
  <c r="M29" i="19" s="1"/>
  <c r="M29" i="16"/>
  <c r="M30" i="19" s="1"/>
  <c r="T20" i="16"/>
  <c r="T22" i="16" s="1"/>
  <c r="M26" i="16"/>
  <c r="M27" i="19" s="1"/>
  <c r="L35" i="16"/>
  <c r="K38" i="19" l="1"/>
  <c r="L36" i="16"/>
  <c r="V34" i="16"/>
  <c r="U35" i="19"/>
  <c r="V33" i="16"/>
  <c r="U34" i="19"/>
  <c r="V31" i="16"/>
  <c r="U32" i="19"/>
  <c r="V32" i="16"/>
  <c r="U33" i="19"/>
  <c r="L36" i="19"/>
  <c r="L38" i="19" s="1"/>
  <c r="N28" i="16"/>
  <c r="N29" i="19" s="1"/>
  <c r="N29" i="16"/>
  <c r="N30" i="19" s="1"/>
  <c r="N27" i="16"/>
  <c r="N28" i="19" s="1"/>
  <c r="U20" i="16"/>
  <c r="U22" i="16" s="1"/>
  <c r="N26" i="16"/>
  <c r="N27" i="19" s="1"/>
  <c r="M35" i="16"/>
  <c r="M36" i="16" s="1"/>
  <c r="W32" i="16" l="1"/>
  <c r="V33" i="19"/>
  <c r="W33" i="16"/>
  <c r="V34" i="19"/>
  <c r="W31" i="16"/>
  <c r="V32" i="19"/>
  <c r="W34" i="16"/>
  <c r="V35" i="19"/>
  <c r="M36" i="19"/>
  <c r="O29" i="16"/>
  <c r="O30" i="19" s="1"/>
  <c r="O27" i="16"/>
  <c r="O28" i="19" s="1"/>
  <c r="O28" i="16"/>
  <c r="O29" i="19" s="1"/>
  <c r="V20" i="16"/>
  <c r="V22" i="16" s="1"/>
  <c r="O26" i="16"/>
  <c r="O27" i="19" s="1"/>
  <c r="N35" i="16"/>
  <c r="N36" i="16" s="1"/>
  <c r="M38" i="19" l="1"/>
  <c r="W35" i="19"/>
  <c r="W34" i="19"/>
  <c r="W32" i="19"/>
  <c r="W33" i="19"/>
  <c r="N36" i="19"/>
  <c r="N38" i="19" s="1"/>
  <c r="P27" i="16"/>
  <c r="P28" i="19" s="1"/>
  <c r="P28" i="16"/>
  <c r="P29" i="19" s="1"/>
  <c r="P29" i="16"/>
  <c r="P30" i="19" s="1"/>
  <c r="P26" i="16"/>
  <c r="P27" i="19" s="1"/>
  <c r="O35" i="16"/>
  <c r="O36" i="16" s="1"/>
  <c r="W20" i="16"/>
  <c r="W22" i="16" s="1"/>
  <c r="E30" i="15"/>
  <c r="E31" i="15"/>
  <c r="I30" i="15"/>
  <c r="I31" i="15"/>
  <c r="F30" i="15"/>
  <c r="F31" i="15"/>
  <c r="J30" i="15"/>
  <c r="J31" i="15"/>
  <c r="G30" i="15"/>
  <c r="G31" i="15"/>
  <c r="H30" i="15"/>
  <c r="H31" i="15"/>
  <c r="D30" i="15"/>
  <c r="D31" i="15"/>
  <c r="Y32" i="16" l="1"/>
  <c r="X33" i="19"/>
  <c r="Y33" i="16"/>
  <c r="X34" i="19"/>
  <c r="Y31" i="16"/>
  <c r="X32" i="19"/>
  <c r="Y34" i="16"/>
  <c r="X35" i="19"/>
  <c r="O36" i="19"/>
  <c r="O38" i="19" s="1"/>
  <c r="Q28" i="16"/>
  <c r="Q29" i="19" s="1"/>
  <c r="Q29" i="16"/>
  <c r="Q30" i="19" s="1"/>
  <c r="P36" i="19"/>
  <c r="P38" i="19" s="1"/>
  <c r="Q27" i="16"/>
  <c r="Q28" i="19" s="1"/>
  <c r="X20" i="16"/>
  <c r="X22" i="16" s="1"/>
  <c r="Q26" i="16"/>
  <c r="Q27" i="19" s="1"/>
  <c r="P35" i="16"/>
  <c r="P36" i="16" s="1"/>
  <c r="Z34" i="16" l="1"/>
  <c r="Y35" i="19"/>
  <c r="Z33" i="16"/>
  <c r="Y34" i="19"/>
  <c r="Z31" i="16"/>
  <c r="Y32" i="19"/>
  <c r="Z32" i="16"/>
  <c r="Y33" i="19"/>
  <c r="R29" i="16"/>
  <c r="R30" i="19" s="1"/>
  <c r="R27" i="16"/>
  <c r="R28" i="19" s="1"/>
  <c r="R28" i="16"/>
  <c r="R29" i="19" s="1"/>
  <c r="R26" i="16"/>
  <c r="R27" i="19" s="1"/>
  <c r="Q35" i="16"/>
  <c r="Q36" i="16" s="1"/>
  <c r="Y20" i="16"/>
  <c r="Y22" i="16" s="1"/>
  <c r="AA32" i="16" l="1"/>
  <c r="Z33" i="19"/>
  <c r="AA33" i="16"/>
  <c r="Z34" i="19"/>
  <c r="AA31" i="16"/>
  <c r="Z32" i="19"/>
  <c r="AA34" i="16"/>
  <c r="Z35" i="19"/>
  <c r="Q36" i="19"/>
  <c r="Q38" i="19" s="1"/>
  <c r="S27" i="16"/>
  <c r="S28" i="19" s="1"/>
  <c r="S28" i="16"/>
  <c r="S29" i="19" s="1"/>
  <c r="S29" i="16"/>
  <c r="S30" i="19" s="1"/>
  <c r="Z20" i="16"/>
  <c r="Z22" i="16" s="1"/>
  <c r="S26" i="16"/>
  <c r="S27" i="19" s="1"/>
  <c r="R35" i="16"/>
  <c r="R36" i="16" s="1"/>
  <c r="AB34" i="16" l="1"/>
  <c r="AA35" i="19"/>
  <c r="AB33" i="16"/>
  <c r="AA34" i="19"/>
  <c r="AB31" i="16"/>
  <c r="AA32" i="19"/>
  <c r="AB32" i="16"/>
  <c r="AA33" i="19"/>
  <c r="R36" i="19"/>
  <c r="R38" i="19" s="1"/>
  <c r="T28" i="16"/>
  <c r="T29" i="19" s="1"/>
  <c r="T29" i="16"/>
  <c r="T30" i="19" s="1"/>
  <c r="T27" i="16"/>
  <c r="T28" i="19" s="1"/>
  <c r="T26" i="16"/>
  <c r="T27" i="19" s="1"/>
  <c r="S35" i="16"/>
  <c r="S36" i="16" s="1"/>
  <c r="AA20" i="16"/>
  <c r="AA22" i="16" s="1"/>
  <c r="AC32" i="16" l="1"/>
  <c r="AB33" i="19"/>
  <c r="AC33" i="16"/>
  <c r="AB34" i="19"/>
  <c r="AC31" i="16"/>
  <c r="AB32" i="19"/>
  <c r="AC34" i="16"/>
  <c r="AB35" i="19"/>
  <c r="S36" i="19"/>
  <c r="S38" i="19" s="1"/>
  <c r="U29" i="16"/>
  <c r="U30" i="19" s="1"/>
  <c r="U27" i="16"/>
  <c r="U28" i="19" s="1"/>
  <c r="U28" i="16"/>
  <c r="U29" i="19" s="1"/>
  <c r="AB20" i="16"/>
  <c r="AB22" i="16" s="1"/>
  <c r="U26" i="16"/>
  <c r="U27" i="19" s="1"/>
  <c r="T35" i="16"/>
  <c r="T36" i="16" s="1"/>
  <c r="AD33" i="16" l="1"/>
  <c r="AC34" i="19"/>
  <c r="AD34" i="16"/>
  <c r="AC35" i="19"/>
  <c r="AD31" i="16"/>
  <c r="AC32" i="19"/>
  <c r="AD32" i="16"/>
  <c r="AC33" i="19"/>
  <c r="T36" i="19"/>
  <c r="T38" i="19" s="1"/>
  <c r="V27" i="16"/>
  <c r="V28" i="19" s="1"/>
  <c r="V28" i="16"/>
  <c r="V29" i="19" s="1"/>
  <c r="V29" i="16"/>
  <c r="V30" i="19" s="1"/>
  <c r="V26" i="16"/>
  <c r="V27" i="19" s="1"/>
  <c r="U35" i="16"/>
  <c r="U36" i="16" s="1"/>
  <c r="AC20" i="16"/>
  <c r="AC22" i="16" s="1"/>
  <c r="AE32" i="16" l="1"/>
  <c r="AD33" i="19"/>
  <c r="AE34" i="16"/>
  <c r="AD35" i="19"/>
  <c r="AE31" i="16"/>
  <c r="AD32" i="19"/>
  <c r="AE33" i="16"/>
  <c r="AD34" i="19"/>
  <c r="U36" i="19"/>
  <c r="U38" i="19" s="1"/>
  <c r="W28" i="16"/>
  <c r="W29" i="19" s="1"/>
  <c r="W29" i="16"/>
  <c r="W30" i="19" s="1"/>
  <c r="W27" i="16"/>
  <c r="W28" i="19" s="1"/>
  <c r="AD20" i="16"/>
  <c r="AD22" i="16" s="1"/>
  <c r="W26" i="16"/>
  <c r="W27" i="19" s="1"/>
  <c r="V35" i="16"/>
  <c r="V36" i="16" s="1"/>
  <c r="AF33" i="16" l="1"/>
  <c r="AE34" i="19"/>
  <c r="AF34" i="16"/>
  <c r="AE35" i="19"/>
  <c r="AF31" i="16"/>
  <c r="AE32" i="19"/>
  <c r="AF32" i="16"/>
  <c r="AE33" i="19"/>
  <c r="V36" i="19"/>
  <c r="V38" i="19" s="1"/>
  <c r="X29" i="16"/>
  <c r="X30" i="19" s="1"/>
  <c r="X27" i="16"/>
  <c r="X28" i="19" s="1"/>
  <c r="X28" i="16"/>
  <c r="X29" i="19" s="1"/>
  <c r="X26" i="16"/>
  <c r="X27" i="19" s="1"/>
  <c r="W35" i="16"/>
  <c r="W36" i="16" s="1"/>
  <c r="AE20" i="16"/>
  <c r="AE22" i="16" s="1"/>
  <c r="AG32" i="16" l="1"/>
  <c r="AF33" i="19"/>
  <c r="AG34" i="16"/>
  <c r="AF35" i="19"/>
  <c r="AG31" i="16"/>
  <c r="AF32" i="19"/>
  <c r="AG33" i="16"/>
  <c r="AF34" i="19"/>
  <c r="W36" i="19"/>
  <c r="W38" i="19" s="1"/>
  <c r="Y27" i="16"/>
  <c r="Y28" i="19" s="1"/>
  <c r="Y28" i="16"/>
  <c r="Y29" i="19" s="1"/>
  <c r="Y29" i="16"/>
  <c r="Y30" i="19" s="1"/>
  <c r="AF20" i="16"/>
  <c r="AF22" i="16" s="1"/>
  <c r="Y26" i="16"/>
  <c r="Y27" i="19" s="1"/>
  <c r="X35" i="16"/>
  <c r="X36" i="16" s="1"/>
  <c r="AH33" i="16" l="1"/>
  <c r="AG34" i="19"/>
  <c r="AH34" i="16"/>
  <c r="AG35" i="19"/>
  <c r="AH31" i="16"/>
  <c r="AG32" i="19"/>
  <c r="AH32" i="16"/>
  <c r="AG33" i="19"/>
  <c r="X36" i="19"/>
  <c r="X38" i="19" s="1"/>
  <c r="Z28" i="16"/>
  <c r="Z29" i="19" s="1"/>
  <c r="Z29" i="16"/>
  <c r="Z30" i="19" s="1"/>
  <c r="Z27" i="16"/>
  <c r="Z28" i="19" s="1"/>
  <c r="Z26" i="16"/>
  <c r="Z27" i="19" s="1"/>
  <c r="Y35" i="16"/>
  <c r="Y36" i="16" s="1"/>
  <c r="AG20" i="16"/>
  <c r="AG22" i="16" s="1"/>
  <c r="AI34" i="16" l="1"/>
  <c r="AH35" i="19"/>
  <c r="AI32" i="16"/>
  <c r="AH33" i="19"/>
  <c r="AI31" i="16"/>
  <c r="AH32" i="19"/>
  <c r="AI33" i="16"/>
  <c r="AH34" i="19"/>
  <c r="Y36" i="19"/>
  <c r="Y38" i="19" s="1"/>
  <c r="AA29" i="16"/>
  <c r="AA30" i="19" s="1"/>
  <c r="AA27" i="16"/>
  <c r="AA28" i="19" s="1"/>
  <c r="AA28" i="16"/>
  <c r="AA29" i="19" s="1"/>
  <c r="AA26" i="16"/>
  <c r="AA27" i="19" s="1"/>
  <c r="Z35" i="16"/>
  <c r="Z36" i="16" s="1"/>
  <c r="AH20" i="16"/>
  <c r="AH22" i="16" s="1"/>
  <c r="AJ33" i="16" l="1"/>
  <c r="AI34" i="19"/>
  <c r="AJ32" i="16"/>
  <c r="AI33" i="19"/>
  <c r="AJ31" i="16"/>
  <c r="AI32" i="19"/>
  <c r="AJ34" i="16"/>
  <c r="AI35" i="19"/>
  <c r="Z36" i="19"/>
  <c r="Z38" i="19" s="1"/>
  <c r="AB27" i="16"/>
  <c r="AB28" i="19" s="1"/>
  <c r="AB28" i="16"/>
  <c r="AB29" i="19" s="1"/>
  <c r="AB29" i="16"/>
  <c r="AB30" i="19" s="1"/>
  <c r="AI20" i="16"/>
  <c r="AI22" i="16" s="1"/>
  <c r="AB26" i="16"/>
  <c r="AB27" i="19" s="1"/>
  <c r="AA35" i="16"/>
  <c r="AA36" i="16" s="1"/>
  <c r="AK34" i="16" l="1"/>
  <c r="AJ35" i="19"/>
  <c r="AK32" i="16"/>
  <c r="AJ33" i="19"/>
  <c r="AK31" i="16"/>
  <c r="AJ32" i="19"/>
  <c r="AK33" i="16"/>
  <c r="AJ34" i="19"/>
  <c r="AA36" i="19"/>
  <c r="AA38" i="19" s="1"/>
  <c r="AC28" i="16"/>
  <c r="AC29" i="19" s="1"/>
  <c r="AC29" i="16"/>
  <c r="AC30" i="19" s="1"/>
  <c r="AC27" i="16"/>
  <c r="AC28" i="19" s="1"/>
  <c r="AC26" i="16"/>
  <c r="AC27" i="19" s="1"/>
  <c r="AB35" i="16"/>
  <c r="AB36" i="16" s="1"/>
  <c r="AJ20" i="16"/>
  <c r="AJ22" i="16" s="1"/>
  <c r="AL32" i="16" l="1"/>
  <c r="AK33" i="19"/>
  <c r="AL33" i="16"/>
  <c r="AK34" i="19"/>
  <c r="AL31" i="16"/>
  <c r="AK32" i="19"/>
  <c r="AL34" i="16"/>
  <c r="AK35" i="19"/>
  <c r="AB36" i="19"/>
  <c r="AB38" i="19" s="1"/>
  <c r="AD29" i="16"/>
  <c r="AD30" i="19" s="1"/>
  <c r="AD27" i="16"/>
  <c r="AD28" i="19" s="1"/>
  <c r="AD28" i="16"/>
  <c r="AD29" i="19" s="1"/>
  <c r="AK20" i="16"/>
  <c r="AK22" i="16" s="1"/>
  <c r="AD26" i="16"/>
  <c r="AD27" i="19" s="1"/>
  <c r="AC35" i="16"/>
  <c r="AC36" i="16" s="1"/>
  <c r="AM34" i="16" l="1"/>
  <c r="AL35" i="19"/>
  <c r="AM33" i="16"/>
  <c r="AL34" i="19"/>
  <c r="AM31" i="16"/>
  <c r="AL32" i="19"/>
  <c r="AM32" i="16"/>
  <c r="AL33" i="19"/>
  <c r="AC36" i="19"/>
  <c r="AC38" i="19" s="1"/>
  <c r="AE27" i="16"/>
  <c r="AE28" i="19" s="1"/>
  <c r="AE28" i="16"/>
  <c r="AE29" i="19" s="1"/>
  <c r="AE29" i="16"/>
  <c r="AE30" i="19" s="1"/>
  <c r="AE26" i="16"/>
  <c r="AE27" i="19" s="1"/>
  <c r="AD35" i="16"/>
  <c r="AD36" i="16" s="1"/>
  <c r="AL20" i="16"/>
  <c r="AL22" i="16" s="1"/>
  <c r="AN32" i="16" l="1"/>
  <c r="AM33" i="19"/>
  <c r="AN33" i="16"/>
  <c r="AM34" i="19"/>
  <c r="AN31" i="16"/>
  <c r="AM32" i="19"/>
  <c r="AN34" i="16"/>
  <c r="AM35" i="19"/>
  <c r="AD36" i="19"/>
  <c r="AD38" i="19" s="1"/>
  <c r="AF28" i="16"/>
  <c r="AF29" i="19" s="1"/>
  <c r="AF29" i="16"/>
  <c r="AF30" i="19" s="1"/>
  <c r="AF27" i="16"/>
  <c r="AF28" i="19" s="1"/>
  <c r="AM20" i="16"/>
  <c r="AM22" i="16" s="1"/>
  <c r="AF26" i="16"/>
  <c r="AF27" i="19" s="1"/>
  <c r="AE35" i="16"/>
  <c r="AE36" i="16" s="1"/>
  <c r="AO34" i="16" l="1"/>
  <c r="AN35" i="19"/>
  <c r="AO33" i="16"/>
  <c r="AN34" i="19"/>
  <c r="AO31" i="16"/>
  <c r="AN32" i="19"/>
  <c r="AO32" i="16"/>
  <c r="AN33" i="19"/>
  <c r="AE36" i="19"/>
  <c r="AE38" i="19" s="1"/>
  <c r="AG29" i="16"/>
  <c r="AG30" i="19" s="1"/>
  <c r="AG27" i="16"/>
  <c r="AG28" i="19" s="1"/>
  <c r="AG28" i="16"/>
  <c r="AG29" i="19" s="1"/>
  <c r="AG26" i="16"/>
  <c r="AG27" i="19" s="1"/>
  <c r="AF35" i="16"/>
  <c r="AF36" i="16" s="1"/>
  <c r="AN20" i="16"/>
  <c r="AN22" i="16" s="1"/>
  <c r="AP32" i="16" l="1"/>
  <c r="AO33" i="19"/>
  <c r="AP33" i="16"/>
  <c r="AO34" i="19"/>
  <c r="AP31" i="16"/>
  <c r="AO32" i="19"/>
  <c r="AP34" i="16"/>
  <c r="AO35" i="19"/>
  <c r="AF36" i="19"/>
  <c r="AF38" i="19" s="1"/>
  <c r="AH27" i="16"/>
  <c r="AH28" i="19" s="1"/>
  <c r="AH28" i="16"/>
  <c r="AH29" i="19" s="1"/>
  <c r="AH29" i="16"/>
  <c r="AH30" i="19" s="1"/>
  <c r="AO20" i="16"/>
  <c r="AO22" i="16" s="1"/>
  <c r="AH26" i="16"/>
  <c r="AH27" i="19" s="1"/>
  <c r="AG35" i="16"/>
  <c r="AG36" i="16" s="1"/>
  <c r="AQ34" i="16" l="1"/>
  <c r="AP35" i="19"/>
  <c r="AQ33" i="16"/>
  <c r="AP34" i="19"/>
  <c r="AQ31" i="16"/>
  <c r="AP32" i="19"/>
  <c r="AQ32" i="16"/>
  <c r="AP33" i="19"/>
  <c r="AG36" i="19"/>
  <c r="AG38" i="19" s="1"/>
  <c r="AI28" i="16"/>
  <c r="AI29" i="19" s="1"/>
  <c r="AI29" i="16"/>
  <c r="AI30" i="19" s="1"/>
  <c r="AI27" i="16"/>
  <c r="AI28" i="19" s="1"/>
  <c r="AI26" i="16"/>
  <c r="AI27" i="19" s="1"/>
  <c r="AH35" i="16"/>
  <c r="AH36" i="16" s="1"/>
  <c r="AP20" i="16"/>
  <c r="AP22" i="16" s="1"/>
  <c r="AR32" i="16" l="1"/>
  <c r="AQ33" i="19"/>
  <c r="AR33" i="16"/>
  <c r="AQ34" i="19"/>
  <c r="AR31" i="16"/>
  <c r="AQ32" i="19"/>
  <c r="AR34" i="16"/>
  <c r="AQ35" i="19"/>
  <c r="AH36" i="19"/>
  <c r="AH38" i="19" s="1"/>
  <c r="AJ29" i="16"/>
  <c r="AJ30" i="19" s="1"/>
  <c r="AJ27" i="16"/>
  <c r="AJ28" i="19" s="1"/>
  <c r="AJ28" i="16"/>
  <c r="AJ29" i="19" s="1"/>
  <c r="AQ20" i="16"/>
  <c r="AQ22" i="16" s="1"/>
  <c r="AJ26" i="16"/>
  <c r="AJ27" i="19" s="1"/>
  <c r="AI35" i="16"/>
  <c r="AI36" i="16" s="1"/>
  <c r="AS34" i="16" l="1"/>
  <c r="AR35" i="19"/>
  <c r="AS33" i="16"/>
  <c r="AR34" i="19"/>
  <c r="AS31" i="16"/>
  <c r="AR32" i="19"/>
  <c r="AS32" i="16"/>
  <c r="AR33" i="19"/>
  <c r="AI36" i="19"/>
  <c r="AI38" i="19" s="1"/>
  <c r="AK27" i="16"/>
  <c r="AK28" i="19" s="1"/>
  <c r="AK28" i="16"/>
  <c r="AK29" i="19" s="1"/>
  <c r="AK29" i="16"/>
  <c r="AK30" i="19" s="1"/>
  <c r="AK26" i="16"/>
  <c r="AK27" i="19" s="1"/>
  <c r="AJ35" i="16"/>
  <c r="AJ36" i="16" s="1"/>
  <c r="AR20" i="16"/>
  <c r="AR22" i="16" s="1"/>
  <c r="AT33" i="16" l="1"/>
  <c r="AS34" i="19"/>
  <c r="AT32" i="16"/>
  <c r="AS33" i="19"/>
  <c r="AT31" i="16"/>
  <c r="AS32" i="19"/>
  <c r="AT34" i="16"/>
  <c r="AS35" i="19"/>
  <c r="AJ36" i="19"/>
  <c r="AJ38" i="19" s="1"/>
  <c r="AL28" i="16"/>
  <c r="AL29" i="19" s="1"/>
  <c r="AL29" i="16"/>
  <c r="AL30" i="19" s="1"/>
  <c r="AL27" i="16"/>
  <c r="AL28" i="19" s="1"/>
  <c r="AS20" i="16"/>
  <c r="AS22" i="16" s="1"/>
  <c r="AL26" i="16"/>
  <c r="AL27" i="19" s="1"/>
  <c r="AK35" i="16"/>
  <c r="AK36" i="16" s="1"/>
  <c r="AU34" i="16" l="1"/>
  <c r="AT35" i="19"/>
  <c r="AU32" i="16"/>
  <c r="AT33" i="19"/>
  <c r="AU31" i="16"/>
  <c r="AT32" i="19"/>
  <c r="AU33" i="16"/>
  <c r="AT34" i="19"/>
  <c r="AK36" i="19"/>
  <c r="AK38" i="19" s="1"/>
  <c r="AM29" i="16"/>
  <c r="AM30" i="19" s="1"/>
  <c r="AM27" i="16"/>
  <c r="AM28" i="19" s="1"/>
  <c r="AM28" i="16"/>
  <c r="AM29" i="19" s="1"/>
  <c r="AM26" i="16"/>
  <c r="AM27" i="19" s="1"/>
  <c r="AL35" i="16"/>
  <c r="AL36" i="16" s="1"/>
  <c r="AT20" i="16"/>
  <c r="AT22" i="16" s="1"/>
  <c r="AV33" i="16" l="1"/>
  <c r="AU34" i="19"/>
  <c r="AV32" i="16"/>
  <c r="AU33" i="19"/>
  <c r="AV31" i="16"/>
  <c r="AU32" i="19"/>
  <c r="AV34" i="16"/>
  <c r="AU35" i="19"/>
  <c r="AL36" i="19"/>
  <c r="AL38" i="19" s="1"/>
  <c r="AN27" i="16"/>
  <c r="AN28" i="19" s="1"/>
  <c r="AN28" i="16"/>
  <c r="AN29" i="19" s="1"/>
  <c r="AN29" i="16"/>
  <c r="AN30" i="19" s="1"/>
  <c r="AU20" i="16"/>
  <c r="AU22" i="16" s="1"/>
  <c r="AN26" i="16"/>
  <c r="AN27" i="19" s="1"/>
  <c r="AM35" i="16"/>
  <c r="AM36" i="16" s="1"/>
  <c r="AW34" i="16" l="1"/>
  <c r="AV35" i="19"/>
  <c r="AW32" i="16"/>
  <c r="AV33" i="19"/>
  <c r="AW31" i="16"/>
  <c r="AV32" i="19"/>
  <c r="AW33" i="16"/>
  <c r="AV34" i="19"/>
  <c r="AM36" i="19"/>
  <c r="AM38" i="19" s="1"/>
  <c r="AO28" i="16"/>
  <c r="AO29" i="19" s="1"/>
  <c r="AO29" i="16"/>
  <c r="AO30" i="19" s="1"/>
  <c r="AO27" i="16"/>
  <c r="AO28" i="19" s="1"/>
  <c r="AV20" i="16"/>
  <c r="AV22" i="16" s="1"/>
  <c r="AO26" i="16"/>
  <c r="AO27" i="19" s="1"/>
  <c r="AN35" i="16"/>
  <c r="AN36" i="16" s="1"/>
  <c r="AX33" i="16" l="1"/>
  <c r="AW34" i="19"/>
  <c r="AX32" i="16"/>
  <c r="AW33" i="19"/>
  <c r="AX31" i="16"/>
  <c r="AW32" i="19"/>
  <c r="AX34" i="16"/>
  <c r="AW35" i="19"/>
  <c r="AN36" i="19"/>
  <c r="AN38" i="19" s="1"/>
  <c r="AP29" i="16"/>
  <c r="AP30" i="19" s="1"/>
  <c r="AP27" i="16"/>
  <c r="AP28" i="19" s="1"/>
  <c r="AP28" i="16"/>
  <c r="AP29" i="19" s="1"/>
  <c r="AP26" i="16"/>
  <c r="AP27" i="19" s="1"/>
  <c r="AO35" i="16"/>
  <c r="AO36" i="16" s="1"/>
  <c r="AW20" i="16"/>
  <c r="AW22" i="16" s="1"/>
  <c r="AY34" i="16" l="1"/>
  <c r="AX35" i="19"/>
  <c r="AY32" i="16"/>
  <c r="AX33" i="19"/>
  <c r="AY31" i="16"/>
  <c r="AX32" i="19"/>
  <c r="AY33" i="16"/>
  <c r="AX34" i="19"/>
  <c r="AO36" i="19"/>
  <c r="AO38" i="19" s="1"/>
  <c r="AQ27" i="16"/>
  <c r="AQ28" i="19" s="1"/>
  <c r="AQ28" i="16"/>
  <c r="AQ29" i="19" s="1"/>
  <c r="AQ29" i="16"/>
  <c r="AQ30" i="19" s="1"/>
  <c r="AX20" i="16"/>
  <c r="AX22" i="16" s="1"/>
  <c r="AQ26" i="16"/>
  <c r="AQ27" i="19" s="1"/>
  <c r="AP35" i="16"/>
  <c r="AP36" i="16" s="1"/>
  <c r="AZ33" i="16" l="1"/>
  <c r="AY34" i="19"/>
  <c r="AZ32" i="16"/>
  <c r="AY33" i="19"/>
  <c r="AZ31" i="16"/>
  <c r="AY32" i="19"/>
  <c r="AZ34" i="16"/>
  <c r="AY35" i="19"/>
  <c r="AP36" i="19"/>
  <c r="AP38" i="19" s="1"/>
  <c r="AR28" i="16"/>
  <c r="AR29" i="19" s="1"/>
  <c r="AR29" i="16"/>
  <c r="AR30" i="19" s="1"/>
  <c r="AR27" i="16"/>
  <c r="AR28" i="19" s="1"/>
  <c r="AR26" i="16"/>
  <c r="AR27" i="19" s="1"/>
  <c r="AQ35" i="16"/>
  <c r="AQ36" i="16" s="1"/>
  <c r="AY20" i="16"/>
  <c r="AY22" i="16" s="1"/>
  <c r="BA34" i="16" l="1"/>
  <c r="AZ35" i="19"/>
  <c r="BA32" i="16"/>
  <c r="AZ33" i="19"/>
  <c r="BA31" i="16"/>
  <c r="AZ32" i="19"/>
  <c r="BA33" i="16"/>
  <c r="AZ34" i="19"/>
  <c r="AQ36" i="19"/>
  <c r="AQ38" i="19" s="1"/>
  <c r="AS29" i="16"/>
  <c r="AS30" i="19" s="1"/>
  <c r="AS27" i="16"/>
  <c r="AS28" i="19" s="1"/>
  <c r="AS28" i="16"/>
  <c r="AS29" i="19" s="1"/>
  <c r="AZ20" i="16"/>
  <c r="AZ22" i="16" s="1"/>
  <c r="AS26" i="16"/>
  <c r="AS27" i="19" s="1"/>
  <c r="AR35" i="16"/>
  <c r="AR36" i="16" s="1"/>
  <c r="BA34" i="19" l="1"/>
  <c r="BA33" i="19"/>
  <c r="BA20" i="16"/>
  <c r="BA22" i="16" s="1"/>
  <c r="BA32" i="19"/>
  <c r="BA35" i="19"/>
  <c r="AR36" i="19"/>
  <c r="AR38" i="19" s="1"/>
  <c r="AT27" i="16"/>
  <c r="AT28" i="19" s="1"/>
  <c r="AT28" i="16"/>
  <c r="AT29" i="19" s="1"/>
  <c r="AT29" i="16"/>
  <c r="AT30" i="19" s="1"/>
  <c r="AT26" i="16"/>
  <c r="AT27" i="19" s="1"/>
  <c r="AS35" i="16"/>
  <c r="AS36" i="16" s="1"/>
  <c r="AS36" i="19" l="1"/>
  <c r="AS38" i="19" s="1"/>
  <c r="AU28" i="16"/>
  <c r="AU29" i="19" s="1"/>
  <c r="AU29" i="16"/>
  <c r="AU30" i="19" s="1"/>
  <c r="AU27" i="16"/>
  <c r="AU28" i="19" s="1"/>
  <c r="AU26" i="16"/>
  <c r="AU27" i="19" s="1"/>
  <c r="AT35" i="16"/>
  <c r="AT36" i="16" s="1"/>
  <c r="AT36" i="19" l="1"/>
  <c r="AT38" i="19" s="1"/>
  <c r="AV29" i="16"/>
  <c r="AV30" i="19" s="1"/>
  <c r="AV27" i="16"/>
  <c r="AV28" i="19" s="1"/>
  <c r="AV28" i="16"/>
  <c r="AV29" i="19" s="1"/>
  <c r="AV26" i="16"/>
  <c r="AV27" i="19" s="1"/>
  <c r="AU35" i="16"/>
  <c r="AU36" i="16" s="1"/>
  <c r="AU36" i="19" l="1"/>
  <c r="AU38" i="19" s="1"/>
  <c r="AW27" i="16"/>
  <c r="AW28" i="19" s="1"/>
  <c r="AW28" i="16"/>
  <c r="AW29" i="19" s="1"/>
  <c r="AW29" i="16"/>
  <c r="AW30" i="19" s="1"/>
  <c r="AW26" i="16"/>
  <c r="AW27" i="19" s="1"/>
  <c r="AV35" i="16"/>
  <c r="AV36" i="16" s="1"/>
  <c r="AV36" i="19" l="1"/>
  <c r="AV38" i="19" s="1"/>
  <c r="AX28" i="16"/>
  <c r="AX29" i="19" s="1"/>
  <c r="AX29" i="16"/>
  <c r="AX30" i="19" s="1"/>
  <c r="AX27" i="16"/>
  <c r="AX28" i="19" s="1"/>
  <c r="AX26" i="16"/>
  <c r="AX27" i="19" s="1"/>
  <c r="AW35" i="16"/>
  <c r="AW36" i="16" s="1"/>
  <c r="AW36" i="19" l="1"/>
  <c r="AW38" i="19" s="1"/>
  <c r="AY29" i="16"/>
  <c r="AY30" i="19" s="1"/>
  <c r="AY27" i="16"/>
  <c r="AY28" i="19" s="1"/>
  <c r="AY28" i="16"/>
  <c r="AY29" i="19" s="1"/>
  <c r="AY26" i="16"/>
  <c r="AY27" i="19" s="1"/>
  <c r="AX35" i="16"/>
  <c r="AX36" i="16" s="1"/>
  <c r="AX36" i="19" l="1"/>
  <c r="AX38" i="19" s="1"/>
  <c r="AZ27" i="16"/>
  <c r="AZ28" i="19" s="1"/>
  <c r="AZ28" i="16"/>
  <c r="AZ29" i="19" s="1"/>
  <c r="AZ29" i="16"/>
  <c r="AZ30" i="19" s="1"/>
  <c r="AZ26" i="16"/>
  <c r="AZ27" i="19" s="1"/>
  <c r="AY35" i="16"/>
  <c r="AY36" i="16" s="1"/>
  <c r="AY36" i="19" l="1"/>
  <c r="AY38" i="19" s="1"/>
  <c r="BA28" i="16"/>
  <c r="BA29" i="16"/>
  <c r="BA27" i="16"/>
  <c r="BA26" i="16"/>
  <c r="AZ35" i="16"/>
  <c r="AZ36" i="16" s="1"/>
  <c r="BA29" i="19" l="1"/>
  <c r="BA28" i="19"/>
  <c r="BA30" i="19"/>
  <c r="BA27" i="19"/>
  <c r="AZ36" i="19"/>
  <c r="AZ38" i="19" s="1"/>
  <c r="BA35" i="16"/>
  <c r="BA36" i="16" l="1"/>
  <c r="C40" i="16" s="1"/>
  <c r="BA36" i="19"/>
  <c r="C37" i="19" l="1"/>
  <c r="D44" i="19"/>
  <c r="D42" i="19"/>
  <c r="D43" i="19"/>
  <c r="D45" i="19"/>
  <c r="BA38" i="19"/>
  <c r="D41" i="19"/>
  <c r="F41" i="19" s="1"/>
  <c r="C43" i="16"/>
  <c r="C42" i="16"/>
  <c r="C41" i="16"/>
  <c r="C39" i="16"/>
  <c r="E43" i="19" l="1"/>
  <c r="F43" i="19"/>
  <c r="E42" i="19"/>
  <c r="F42" i="19"/>
  <c r="E44" i="19"/>
  <c r="F44" i="19"/>
  <c r="F45" i="19"/>
  <c r="E45" i="19"/>
  <c r="G41" i="19"/>
  <c r="C50" i="19"/>
  <c r="E41" i="19"/>
  <c r="C49" i="19"/>
  <c r="C52" i="19"/>
  <c r="C53" i="19"/>
  <c r="C5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fhamade</author>
  </authors>
  <commentList>
    <comment ref="B13" authorId="0" shapeId="0" xr:uid="{D55331EA-376A-4F7C-9500-64844704A4C3}">
      <text>
        <r>
          <rPr>
            <b/>
            <sz val="9"/>
            <color indexed="81"/>
            <rFont val="Tahoma"/>
            <family val="2"/>
          </rPr>
          <t>fhamade:</t>
        </r>
        <r>
          <rPr>
            <sz val="9"/>
            <color indexed="81"/>
            <rFont val="Tahoma"/>
            <family val="2"/>
          </rPr>
          <t xml:space="preserve">
Energie, fisheries, transport, 
etc</t>
        </r>
      </text>
    </comment>
    <comment ref="A18" authorId="0" shapeId="0" xr:uid="{2915CF82-8956-4C54-B62B-9909076A76A5}">
      <text>
        <r>
          <rPr>
            <b/>
            <sz val="9"/>
            <color indexed="81"/>
            <rFont val="Tahoma"/>
            <family val="2"/>
          </rPr>
          <t>fhamade:</t>
        </r>
        <r>
          <rPr>
            <sz val="9"/>
            <color indexed="81"/>
            <rFont val="Tahoma"/>
            <family val="2"/>
          </rPr>
          <t xml:space="preserve">
Référence BM, expériences Pascal, OM 
(6% Burkina GCF; … ) etc… 
Mali : 9% 
Projet BM afirque 6-9% 
Asie contrat de maintenance signé en 2019: 7% </t>
        </r>
      </text>
    </comment>
  </commentList>
</comments>
</file>

<file path=xl/sharedStrings.xml><?xml version="1.0" encoding="utf-8"?>
<sst xmlns="http://schemas.openxmlformats.org/spreadsheetml/2006/main" count="809" uniqueCount="194">
  <si>
    <t>Madagascar</t>
  </si>
  <si>
    <t>Comoros</t>
  </si>
  <si>
    <t>Seychelles</t>
  </si>
  <si>
    <t>Mauritius</t>
  </si>
  <si>
    <t>SWIO Island
State or
Territory</t>
  </si>
  <si>
    <t>Exceedance Probability:</t>
  </si>
  <si>
    <t>AAL</t>
  </si>
  <si>
    <t xml:space="preserve">Mean Return Period (years): </t>
  </si>
  <si>
    <t xml:space="preserve">Comoros </t>
  </si>
  <si>
    <t xml:space="preserve">Madagascar </t>
  </si>
  <si>
    <t xml:space="preserve">Mauritius </t>
  </si>
  <si>
    <t xml:space="preserve">Seychelles </t>
  </si>
  <si>
    <t xml:space="preserve">Emergency Loss (M USD) </t>
  </si>
  <si>
    <t xml:space="preserve">Ground-up Loss (M USD) </t>
  </si>
  <si>
    <t xml:space="preserve">Damages costs </t>
  </si>
  <si>
    <t>Total (USD Million)</t>
  </si>
  <si>
    <t>Average Annual Loss (AAL). All Modeled Perils (AP) by SWIO Island State</t>
  </si>
  <si>
    <t>Benefit from EWS</t>
  </si>
  <si>
    <t xml:space="preserve">Discounting rate </t>
  </si>
  <si>
    <t xml:space="preserve">Emergency Loss (USD) </t>
  </si>
  <si>
    <t xml:space="preserve">Ground-up Loss (USD) </t>
  </si>
  <si>
    <r>
      <t xml:space="preserve">Ground-up Loss </t>
    </r>
    <r>
      <rPr>
        <b/>
        <sz val="11"/>
        <color rgb="FFFF0000"/>
        <rFont val="Calibri"/>
        <family val="2"/>
        <scheme val="minor"/>
      </rPr>
      <t xml:space="preserve">(M USD) </t>
    </r>
  </si>
  <si>
    <t>TOTAL</t>
  </si>
  <si>
    <t>Producer Price index</t>
  </si>
  <si>
    <t>Current value 1000 Int. $</t>
  </si>
  <si>
    <t>Comores</t>
  </si>
  <si>
    <t>Maurice</t>
  </si>
  <si>
    <t xml:space="preserve">CB Ratio </t>
  </si>
  <si>
    <t>(USD Million)</t>
  </si>
  <si>
    <t xml:space="preserve">Discounted Costs </t>
  </si>
  <si>
    <t>Discounted benefits</t>
  </si>
  <si>
    <t>ERR</t>
  </si>
  <si>
    <t>Version enregistrée le</t>
  </si>
  <si>
    <t>A</t>
  </si>
  <si>
    <t>RESUME</t>
  </si>
  <si>
    <t>Language</t>
  </si>
  <si>
    <t xml:space="preserve">English </t>
  </si>
  <si>
    <t>This model is the property of IREEDD. It has been developed on the sole basis of the information transmitted to IREEDD.</t>
  </si>
  <si>
    <t>The technical, economic, legal or financial data of the project are not yet definitively fixed and certain parameters are likely to change during its implementation.</t>
  </si>
  <si>
    <t>Cost-benefit of the Hydromet project</t>
  </si>
  <si>
    <t xml:space="preserve">Bnefiots - Costs avoided by the Early Warning System </t>
  </si>
  <si>
    <t xml:space="preserve">Benefits derived from the Climate services in the agriculture sector - Gain in agriculture productivity </t>
  </si>
  <si>
    <t xml:space="preserve">Sensitivity analysis to benefits </t>
  </si>
  <si>
    <t xml:space="preserve">This model is build as followed </t>
  </si>
  <si>
    <t>Costs of the Hydromet project (MUSD)</t>
  </si>
  <si>
    <t xml:space="preserve">Investment costs and implementation </t>
  </si>
  <si>
    <t>Management</t>
  </si>
  <si>
    <t>Capacity building &amp; training</t>
  </si>
  <si>
    <t>Sub-total</t>
  </si>
  <si>
    <t xml:space="preserve">Total costs </t>
  </si>
  <si>
    <t>Costs avoided related tio the EWS (USD)</t>
  </si>
  <si>
    <t>Agro-climatic services (USD)</t>
  </si>
  <si>
    <t>Total of benefits</t>
  </si>
  <si>
    <t>Benefits derived from the Hydromet project (MUSD)</t>
  </si>
  <si>
    <t xml:space="preserve">NPV (M.USD) with the GCF funds </t>
  </si>
  <si>
    <t xml:space="preserve">&lt;-- this value can be modified </t>
  </si>
  <si>
    <t xml:space="preserve">Assumptions </t>
  </si>
  <si>
    <t xml:space="preserve">Increase in agriculture productivity </t>
  </si>
  <si>
    <t>Proportion of the agriculture secteur that benefit from climate services</t>
  </si>
  <si>
    <t>Annual Value of agriculture production  (FAO)</t>
  </si>
  <si>
    <t>Agriulture production that benefit from climate services ( Assumption 10% of the total production)</t>
  </si>
  <si>
    <t>Average</t>
  </si>
  <si>
    <t>Agriculture production without Hydromet project (USD)</t>
  </si>
  <si>
    <t>Agriculture production with Hydromet project (USD)</t>
  </si>
  <si>
    <t>Agriculture Benefits</t>
  </si>
  <si>
    <t>Changed value</t>
  </si>
  <si>
    <t xml:space="preserve">Operation and maintenance costs </t>
  </si>
  <si>
    <t>Costs avoided related to the EWS (USD)</t>
  </si>
  <si>
    <t>Net Benefits  (MUSD)</t>
  </si>
  <si>
    <t xml:space="preserve">Sensitivity Analysis to Benefits variation </t>
  </si>
  <si>
    <t>Annual Net benefits = (Benefits - Costs)</t>
  </si>
  <si>
    <t xml:space="preserve">Annual net benefits = (Benefits - Costs) </t>
  </si>
  <si>
    <t>19.50</t>
  </si>
  <si>
    <t xml:space="preserve">Developped by </t>
  </si>
  <si>
    <t>V3</t>
  </si>
  <si>
    <t>COST BENEFIT ANALYSIS OF THE HYDROMET PROJECT</t>
  </si>
  <si>
    <t>Observation sytems</t>
  </si>
  <si>
    <t>Information systems</t>
  </si>
  <si>
    <t xml:space="preserve">Agri-climatic services </t>
  </si>
  <si>
    <t>Implementation phase</t>
  </si>
  <si>
    <t>Assumptions</t>
  </si>
  <si>
    <t>Change Values</t>
  </si>
  <si>
    <t>Agriculture Benefits USD</t>
  </si>
  <si>
    <t xml:space="preserve">Other climate services </t>
  </si>
  <si>
    <t>Benefits associated to climate services (+10%)</t>
  </si>
  <si>
    <t>Average Annual Benefits (USD) from Hydromet</t>
  </si>
  <si>
    <t xml:space="preserve">Total </t>
  </si>
  <si>
    <t>Life span</t>
  </si>
  <si>
    <t>Changes in benefits</t>
  </si>
  <si>
    <t>NPV reference (M.USD)</t>
  </si>
  <si>
    <t>Discounting rate</t>
  </si>
  <si>
    <t>Source : 
Producer price index in exported industrial production - G27B - Other electrical equipment (insee, France, 12/20/2019)</t>
  </si>
  <si>
    <t>7% (cf. FS)</t>
  </si>
  <si>
    <t>Total discounted costs (5%)</t>
  </si>
  <si>
    <t>Total discounted benefits (5%)</t>
  </si>
  <si>
    <t>Inflation rate for Observation systems and O&amp;M</t>
  </si>
  <si>
    <t>Life span (years)</t>
  </si>
  <si>
    <t>Seychelles: 1M€ dont 50% pour les salaires, le reste sert aux dépenses courantes dont l'O&amp;M</t>
  </si>
  <si>
    <t>Maurice: 3.5 M€ dont 40% pour les saleires</t>
  </si>
  <si>
    <t>Madagascar: 1 M€ dont 75% pour les salaires</t>
  </si>
  <si>
    <t>Comores: 0.4 M€ dont 75% pour les salaires</t>
  </si>
  <si>
    <t>Salaires</t>
  </si>
  <si>
    <t>O&amp;M</t>
  </si>
  <si>
    <t>M$</t>
  </si>
  <si>
    <t>Current budget of NMS</t>
  </si>
  <si>
    <t>Impact of Hydromet on national Budget of NMS</t>
  </si>
  <si>
    <t>Futur budget of NMS</t>
  </si>
  <si>
    <t>Hypothèse de répartition égalitaire</t>
  </si>
  <si>
    <t>Assumption  :</t>
  </si>
  <si>
    <t>O&amp;M replaces previous expenses of NMS</t>
  </si>
  <si>
    <t>Salaries are additionnal for the 15 aditionnal new persons</t>
  </si>
  <si>
    <t>Operation and maintenance (Human resources)</t>
  </si>
  <si>
    <t>Operation and maintenance (Maintenance contract)</t>
  </si>
  <si>
    <t>Composant 2</t>
  </si>
  <si>
    <t>Sous-projets</t>
  </si>
  <si>
    <t>Fin.
AFD, EU, GCF, GVNT</t>
  </si>
  <si>
    <t>Durée de vie (an)</t>
  </si>
  <si>
    <t>Type</t>
  </si>
  <si>
    <t>Total qté</t>
  </si>
  <si>
    <t>Budget Unitaire</t>
  </si>
  <si>
    <t>Budget
2021</t>
  </si>
  <si>
    <t>Budget
2022</t>
  </si>
  <si>
    <t>Budget
2023</t>
  </si>
  <si>
    <t>Budget
2024</t>
  </si>
  <si>
    <t>Budget
2025</t>
  </si>
  <si>
    <t>Systèmes d'Observation</t>
  </si>
  <si>
    <t>Réseau national d'observation synop (PNUD)</t>
  </si>
  <si>
    <t>Equipement</t>
  </si>
  <si>
    <t>Réhabilitation des bâtiments à Moroni</t>
  </si>
  <si>
    <t>AFD</t>
  </si>
  <si>
    <t>Construction</t>
  </si>
  <si>
    <t>Batiment pour Anjouan &amp; Moheli (PNUD)</t>
  </si>
  <si>
    <t xml:space="preserve">Réseau pluvio risque d'inondation </t>
  </si>
  <si>
    <t>AFD-GCF</t>
  </si>
  <si>
    <t>Echelles limnimétriques</t>
  </si>
  <si>
    <t>Limnigraphes électronique</t>
  </si>
  <si>
    <t>ADCP</t>
  </si>
  <si>
    <t>Moulinets</t>
  </si>
  <si>
    <t>Bateaux gonflables</t>
  </si>
  <si>
    <t>Mesures piezomètriques</t>
  </si>
  <si>
    <t>Hydrochimie</t>
  </si>
  <si>
    <t>Bouée hauteur vague - océano</t>
  </si>
  <si>
    <t>Réseau foudre</t>
  </si>
  <si>
    <t>Système automatique d'observation aéroport (Anjouan - Moheli)</t>
  </si>
  <si>
    <t>Système de radiosondage  et Générateur d'Hydrogène</t>
  </si>
  <si>
    <t>Radar doppler</t>
  </si>
  <si>
    <t>Tour radar - autre partenaire</t>
  </si>
  <si>
    <t xml:space="preserve">Systèmes d'Information </t>
  </si>
  <si>
    <t>Collecte de Données</t>
  </si>
  <si>
    <t>Système</t>
  </si>
  <si>
    <t>AMSS</t>
  </si>
  <si>
    <t>Centre de calcul (énergie, mise au normes réseau, …)</t>
  </si>
  <si>
    <t>Stockage archive et traitement des données</t>
  </si>
  <si>
    <t>Postes de travail du prévisionniste</t>
  </si>
  <si>
    <t>Production de dossiers de vol</t>
  </si>
  <si>
    <t>Outil de climatologie</t>
  </si>
  <si>
    <t>Production d'alertes et produits</t>
  </si>
  <si>
    <t>Affichage Public</t>
  </si>
  <si>
    <t>Système de production TV</t>
  </si>
  <si>
    <t>Modèles atmosphériques: descente d'échelle dynamique</t>
  </si>
  <si>
    <t>Modèles pour urgences (pollution atmo, marine, …)</t>
  </si>
  <si>
    <t>Réhabilitation des bâtiments (PNUD)</t>
  </si>
  <si>
    <t>Laboratoire hydro, petit matériel</t>
  </si>
  <si>
    <t>Bouée hauteur vague</t>
  </si>
  <si>
    <t>Réhabilitation centre de maintenance</t>
  </si>
  <si>
    <t>Système automatique d'observation aéroport</t>
  </si>
  <si>
    <t>Tour radar</t>
  </si>
  <si>
    <t>Modèles pour urgences (pollution atmo, marine, sécuirté alimentaire)</t>
  </si>
  <si>
    <t>Réseau national d'observation synop</t>
  </si>
  <si>
    <t>Nouveau Batiment</t>
  </si>
  <si>
    <t>GVNT</t>
  </si>
  <si>
    <t>Système automatique d'observation aéroport - Praslin</t>
  </si>
  <si>
    <t>Réseau national d'observation synop aws</t>
  </si>
  <si>
    <t>Extension des bâtiments financé par gvnt</t>
  </si>
  <si>
    <t>Réseau pluvio risque d'inondation Port Louis, Cottage</t>
  </si>
  <si>
    <t>Hydrochimie (WRU)</t>
  </si>
  <si>
    <t>Wave radar hauteur vague Maurice Nord, Rodrigue Nord et Agalega</t>
  </si>
  <si>
    <t>Marégraphe  - agalega st brandon</t>
  </si>
  <si>
    <t>Réseau foudre station Rodrigue</t>
  </si>
  <si>
    <t>Système de radiosondage  et Générateur d'Hydrogène Agalega, et Saint Brandon et st Rodrigue</t>
  </si>
  <si>
    <t>Radar doppler Rodrigue</t>
  </si>
  <si>
    <t>Collecte de Données: connectés 30 AWS</t>
  </si>
  <si>
    <t>Outil de climatologie - CDMS</t>
  </si>
  <si>
    <t>Extension du système de production d'alertes et produits réseaux sociaux - remontée terrain</t>
  </si>
  <si>
    <t>Modèles pour urgences (hydraulique urbaine avec NDRRMC, …)</t>
  </si>
  <si>
    <t xml:space="preserve">Inflation rate </t>
  </si>
  <si>
    <t>Total renouvellement des investissements</t>
  </si>
  <si>
    <t>2026-2030</t>
  </si>
  <si>
    <t>2031-2040</t>
  </si>
  <si>
    <t>2041-2070</t>
  </si>
  <si>
    <t>Renew Investments</t>
  </si>
  <si>
    <t>Source : Cost Table</t>
  </si>
  <si>
    <t>Agriulture production that benefit from climate services ( Assumption 5% of the total production)</t>
  </si>
  <si>
    <t>Agriulture production that benefit from climate services ( Assumption 15% of the total production)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</si>
</sst>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d/m/yy\ h:mm;@"/>
    <numFmt numFmtId="167" formatCode="h:mm;@"/>
    <numFmt numFmtId="168" formatCode="_-* #,##0.000_-;\-* #,##0.000_-;_-* &quot;-&quot;??_-;_-@_-"/>
    <numFmt numFmtId="169" formatCode="_([$$-409]* #,##0_);_([$$-409]* \(#,##0\);_([$$-409]* &quot;-&quot;??_);_(@_)"/>
    <numFmt numFmtId="170" formatCode="_-* #,##0.00\ _€_-;\-* #,##0.00\ _€_-;_-* &quot;-&quot;??\ _€_-;_-@_-"/>
    <numFmt numFmtId="171" formatCode="_([$$-409]* #,##0.00_);_([$$-409]* \(#,##0.00\);_([$$-409]* &quot;-&quot;??_);_(@_)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MyriadPro-Semibold"/>
    </font>
    <font>
      <sz val="11"/>
      <name val="Calibri"/>
      <family val="2"/>
      <scheme val="minor"/>
    </font>
    <font>
      <b/>
      <sz val="10"/>
      <color rgb="FF231F20"/>
      <name val="MyriadPro-Semibold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rgb="FF0000CC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3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A4C0"/>
        <bgColor indexed="64"/>
      </patternFill>
    </fill>
    <fill>
      <patternFill patternType="solid">
        <fgColor rgb="FFBFF5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/>
    <xf numFmtId="170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316">
    <xf numFmtId="0" fontId="0" fillId="0" borderId="0" xfId="0"/>
    <xf numFmtId="164" fontId="0" fillId="3" borderId="1" xfId="2" applyNumberFormat="1" applyFont="1" applyFill="1" applyBorder="1"/>
    <xf numFmtId="164" fontId="0" fillId="4" borderId="1" xfId="2" applyNumberFormat="1" applyFont="1" applyFill="1" applyBorder="1"/>
    <xf numFmtId="164" fontId="3" fillId="5" borderId="0" xfId="2" applyNumberFormat="1" applyFont="1" applyFill="1"/>
    <xf numFmtId="164" fontId="0" fillId="0" borderId="8" xfId="2" applyNumberFormat="1" applyFont="1" applyBorder="1"/>
    <xf numFmtId="164" fontId="0" fillId="0" borderId="16" xfId="2" applyNumberFormat="1" applyFont="1" applyBorder="1"/>
    <xf numFmtId="164" fontId="0" fillId="0" borderId="9" xfId="2" applyNumberFormat="1" applyFont="1" applyBorder="1"/>
    <xf numFmtId="164" fontId="0" fillId="0" borderId="0" xfId="2" applyNumberFormat="1" applyFont="1"/>
    <xf numFmtId="164" fontId="0" fillId="0" borderId="19" xfId="2" applyNumberFormat="1" applyFont="1" applyBorder="1"/>
    <xf numFmtId="164" fontId="0" fillId="0" borderId="10" xfId="2" applyNumberFormat="1" applyFont="1" applyBorder="1"/>
    <xf numFmtId="0" fontId="1" fillId="0" borderId="0" xfId="0" applyFont="1"/>
    <xf numFmtId="164" fontId="13" fillId="19" borderId="29" xfId="2" applyNumberFormat="1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9" fontId="7" fillId="5" borderId="11" xfId="1" applyFont="1" applyFill="1" applyBorder="1" applyAlignment="1">
      <alignment horizontal="center" vertical="center" wrapText="1"/>
    </xf>
    <xf numFmtId="9" fontId="7" fillId="5" borderId="26" xfId="1" applyFont="1" applyFill="1" applyBorder="1" applyAlignment="1">
      <alignment horizontal="center" vertical="center" wrapText="1"/>
    </xf>
    <xf numFmtId="0" fontId="0" fillId="10" borderId="25" xfId="0" applyFill="1" applyBorder="1"/>
    <xf numFmtId="0" fontId="0" fillId="10" borderId="11" xfId="0" applyFill="1" applyBorder="1"/>
    <xf numFmtId="0" fontId="0" fillId="10" borderId="26" xfId="0" applyFill="1" applyBorder="1"/>
    <xf numFmtId="0" fontId="0" fillId="10" borderId="22" xfId="0" applyFill="1" applyBorder="1"/>
    <xf numFmtId="0" fontId="0" fillId="10" borderId="0" xfId="0" applyFill="1" applyBorder="1"/>
    <xf numFmtId="0" fontId="0" fillId="10" borderId="12" xfId="0" applyFill="1" applyBorder="1"/>
    <xf numFmtId="0" fontId="14" fillId="10" borderId="22" xfId="3" applyFill="1" applyBorder="1"/>
    <xf numFmtId="0" fontId="14" fillId="10" borderId="0" xfId="3" applyFill="1" applyBorder="1"/>
    <xf numFmtId="0" fontId="14" fillId="10" borderId="12" xfId="3" applyFill="1" applyBorder="1"/>
    <xf numFmtId="166" fontId="15" fillId="10" borderId="22" xfId="3" applyNumberFormat="1" applyFont="1" applyFill="1" applyBorder="1" applyAlignment="1">
      <alignment horizontal="right"/>
    </xf>
    <xf numFmtId="0" fontId="16" fillId="10" borderId="22" xfId="0" applyFont="1" applyFill="1" applyBorder="1" applyAlignment="1">
      <alignment horizontal="right"/>
    </xf>
    <xf numFmtId="0" fontId="17" fillId="10" borderId="1" xfId="0" applyFont="1" applyFill="1" applyBorder="1"/>
    <xf numFmtId="14" fontId="20" fillId="10" borderId="0" xfId="3" applyNumberFormat="1" applyFont="1" applyFill="1" applyBorder="1" applyAlignment="1">
      <alignment horizontal="left"/>
    </xf>
    <xf numFmtId="167" fontId="20" fillId="10" borderId="0" xfId="3" applyNumberFormat="1" applyFont="1" applyFill="1" applyBorder="1" applyAlignment="1">
      <alignment horizontal="left"/>
    </xf>
    <xf numFmtId="0" fontId="23" fillId="14" borderId="0" xfId="4" applyFont="1" applyFill="1"/>
    <xf numFmtId="0" fontId="23" fillId="8" borderId="0" xfId="4" applyFont="1" applyFill="1"/>
    <xf numFmtId="43" fontId="0" fillId="0" borderId="0" xfId="2" applyFont="1"/>
    <xf numFmtId="164" fontId="1" fillId="0" borderId="0" xfId="2" applyNumberFormat="1" applyFont="1" applyAlignment="1">
      <alignment horizontal="center" vertical="center"/>
    </xf>
    <xf numFmtId="164" fontId="0" fillId="0" borderId="25" xfId="2" applyNumberFormat="1" applyFont="1" applyBorder="1"/>
    <xf numFmtId="164" fontId="0" fillId="0" borderId="11" xfId="2" applyNumberFormat="1" applyFont="1" applyBorder="1"/>
    <xf numFmtId="164" fontId="7" fillId="5" borderId="27" xfId="2" applyNumberFormat="1" applyFont="1" applyFill="1" applyBorder="1"/>
    <xf numFmtId="164" fontId="3" fillId="5" borderId="32" xfId="2" applyNumberFormat="1" applyFont="1" applyFill="1" applyBorder="1" applyAlignment="1">
      <alignment horizontal="center" vertical="center" wrapText="1"/>
    </xf>
    <xf numFmtId="164" fontId="3" fillId="5" borderId="48" xfId="2" applyNumberFormat="1" applyFont="1" applyFill="1" applyBorder="1" applyAlignment="1">
      <alignment horizontal="center" vertical="center" wrapText="1"/>
    </xf>
    <xf numFmtId="164" fontId="3" fillId="5" borderId="49" xfId="2" applyNumberFormat="1" applyFont="1" applyFill="1" applyBorder="1" applyAlignment="1">
      <alignment horizontal="center" vertical="center" wrapText="1"/>
    </xf>
    <xf numFmtId="164" fontId="3" fillId="5" borderId="50" xfId="2" applyNumberFormat="1" applyFont="1" applyFill="1" applyBorder="1" applyAlignment="1">
      <alignment horizontal="center" vertical="center" wrapText="1"/>
    </xf>
    <xf numFmtId="164" fontId="3" fillId="5" borderId="51" xfId="2" applyNumberFormat="1" applyFont="1" applyFill="1" applyBorder="1" applyAlignment="1">
      <alignment horizontal="center" vertical="center" wrapText="1"/>
    </xf>
    <xf numFmtId="164" fontId="3" fillId="5" borderId="21" xfId="2" applyNumberFormat="1" applyFont="1" applyFill="1" applyBorder="1" applyAlignment="1">
      <alignment horizontal="center" vertical="center" wrapText="1"/>
    </xf>
    <xf numFmtId="164" fontId="3" fillId="5" borderId="15" xfId="2" applyNumberFormat="1" applyFont="1" applyFill="1" applyBorder="1" applyAlignment="1">
      <alignment horizontal="center" vertical="center" wrapText="1"/>
    </xf>
    <xf numFmtId="164" fontId="7" fillId="6" borderId="30" xfId="2" applyNumberFormat="1" applyFont="1" applyFill="1" applyBorder="1"/>
    <xf numFmtId="164" fontId="3" fillId="6" borderId="52" xfId="2" applyNumberFormat="1" applyFont="1" applyFill="1" applyBorder="1" applyAlignment="1">
      <alignment horizontal="center" vertical="center" wrapText="1"/>
    </xf>
    <xf numFmtId="164" fontId="3" fillId="6" borderId="21" xfId="2" applyNumberFormat="1" applyFont="1" applyFill="1" applyBorder="1" applyAlignment="1">
      <alignment horizontal="center" vertical="center" wrapText="1"/>
    </xf>
    <xf numFmtId="164" fontId="3" fillId="6" borderId="15" xfId="2" applyNumberFormat="1" applyFont="1" applyFill="1" applyBorder="1" applyAlignment="1">
      <alignment horizontal="center" vertical="center" wrapText="1"/>
    </xf>
    <xf numFmtId="164" fontId="3" fillId="6" borderId="53" xfId="2" applyNumberFormat="1" applyFont="1" applyFill="1" applyBorder="1" applyAlignment="1">
      <alignment horizontal="center" vertical="center" wrapText="1"/>
    </xf>
    <xf numFmtId="164" fontId="1" fillId="22" borderId="0" xfId="2" applyNumberFormat="1" applyFont="1" applyFill="1" applyAlignment="1">
      <alignment horizontal="center" vertical="center"/>
    </xf>
    <xf numFmtId="164" fontId="0" fillId="8" borderId="33" xfId="2" applyNumberFormat="1" applyFont="1" applyFill="1" applyBorder="1"/>
    <xf numFmtId="164" fontId="5" fillId="8" borderId="30" xfId="2" applyNumberFormat="1" applyFont="1" applyFill="1" applyBorder="1" applyAlignment="1">
      <alignment horizontal="left" vertical="center" wrapText="1"/>
    </xf>
    <xf numFmtId="164" fontId="0" fillId="0" borderId="22" xfId="2" applyNumberFormat="1" applyFont="1" applyBorder="1"/>
    <xf numFmtId="164" fontId="0" fillId="0" borderId="0" xfId="2" applyNumberFormat="1" applyFont="1" applyBorder="1"/>
    <xf numFmtId="164" fontId="0" fillId="0" borderId="12" xfId="2" applyNumberFormat="1" applyFont="1" applyBorder="1"/>
    <xf numFmtId="164" fontId="5" fillId="8" borderId="33" xfId="2" applyNumberFormat="1" applyFont="1" applyFill="1" applyBorder="1" applyAlignment="1">
      <alignment horizontal="left" vertical="center" wrapText="1"/>
    </xf>
    <xf numFmtId="164" fontId="9" fillId="9" borderId="30" xfId="2" applyNumberFormat="1" applyFont="1" applyFill="1" applyBorder="1" applyAlignment="1">
      <alignment horizontal="right"/>
    </xf>
    <xf numFmtId="164" fontId="9" fillId="9" borderId="33" xfId="2" applyNumberFormat="1" applyFont="1" applyFill="1" applyBorder="1"/>
    <xf numFmtId="164" fontId="9" fillId="9" borderId="52" xfId="2" applyNumberFormat="1" applyFont="1" applyFill="1" applyBorder="1"/>
    <xf numFmtId="164" fontId="9" fillId="9" borderId="21" xfId="2" applyNumberFormat="1" applyFont="1" applyFill="1" applyBorder="1"/>
    <xf numFmtId="164" fontId="9" fillId="9" borderId="15" xfId="2" applyNumberFormat="1" applyFont="1" applyFill="1" applyBorder="1"/>
    <xf numFmtId="164" fontId="9" fillId="9" borderId="53" xfId="2" applyNumberFormat="1" applyFont="1" applyFill="1" applyBorder="1"/>
    <xf numFmtId="164" fontId="10" fillId="10" borderId="30" xfId="2" applyNumberFormat="1" applyFont="1" applyFill="1" applyBorder="1" applyAlignment="1">
      <alignment horizontal="right"/>
    </xf>
    <xf numFmtId="164" fontId="10" fillId="0" borderId="22" xfId="2" applyNumberFormat="1" applyFont="1" applyBorder="1"/>
    <xf numFmtId="164" fontId="10" fillId="0" borderId="0" xfId="2" applyNumberFormat="1" applyFont="1" applyBorder="1"/>
    <xf numFmtId="164" fontId="10" fillId="0" borderId="12" xfId="2" applyNumberFormat="1" applyFont="1" applyBorder="1"/>
    <xf numFmtId="164" fontId="3" fillId="6" borderId="30" xfId="2" applyNumberFormat="1" applyFont="1" applyFill="1" applyBorder="1"/>
    <xf numFmtId="164" fontId="0" fillId="0" borderId="0" xfId="2" applyNumberFormat="1" applyFont="1" applyFill="1" applyBorder="1"/>
    <xf numFmtId="164" fontId="10" fillId="10" borderId="29" xfId="2" applyNumberFormat="1" applyFont="1" applyFill="1" applyBorder="1" applyAlignment="1">
      <alignment horizontal="right"/>
    </xf>
    <xf numFmtId="164" fontId="10" fillId="0" borderId="23" xfId="2" applyNumberFormat="1" applyFont="1" applyBorder="1"/>
    <xf numFmtId="164" fontId="10" fillId="0" borderId="13" xfId="2" applyNumberFormat="1" applyFont="1" applyBorder="1"/>
    <xf numFmtId="164" fontId="10" fillId="0" borderId="14" xfId="2" applyNumberFormat="1" applyFont="1" applyBorder="1"/>
    <xf numFmtId="164" fontId="7" fillId="6" borderId="29" xfId="2" applyNumberFormat="1" applyFont="1" applyFill="1" applyBorder="1"/>
    <xf numFmtId="164" fontId="7" fillId="6" borderId="42" xfId="2" applyNumberFormat="1" applyFont="1" applyFill="1" applyBorder="1"/>
    <xf numFmtId="164" fontId="7" fillId="6" borderId="43" xfId="2" applyNumberFormat="1" applyFont="1" applyFill="1" applyBorder="1"/>
    <xf numFmtId="164" fontId="7" fillId="6" borderId="28" xfId="2" applyNumberFormat="1" applyFont="1" applyFill="1" applyBorder="1"/>
    <xf numFmtId="164" fontId="7" fillId="6" borderId="0" xfId="2" applyNumberFormat="1" applyFont="1" applyFill="1"/>
    <xf numFmtId="164" fontId="1" fillId="0" borderId="0" xfId="2" applyNumberFormat="1" applyFont="1"/>
    <xf numFmtId="164" fontId="1" fillId="2" borderId="22" xfId="2" applyNumberFormat="1" applyFont="1" applyFill="1" applyBorder="1"/>
    <xf numFmtId="164" fontId="1" fillId="2" borderId="30" xfId="2" applyNumberFormat="1" applyFont="1" applyFill="1" applyBorder="1"/>
    <xf numFmtId="164" fontId="3" fillId="2" borderId="52" xfId="2" applyNumberFormat="1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164" fontId="3" fillId="2" borderId="53" xfId="2" applyNumberFormat="1" applyFont="1" applyFill="1" applyBorder="1" applyAlignment="1">
      <alignment horizontal="center" vertical="center" wrapText="1"/>
    </xf>
    <xf numFmtId="164" fontId="3" fillId="2" borderId="21" xfId="2" applyNumberFormat="1" applyFont="1" applyFill="1" applyBorder="1" applyAlignment="1">
      <alignment horizontal="center" vertical="center" wrapText="1"/>
    </xf>
    <xf numFmtId="164" fontId="0" fillId="0" borderId="22" xfId="2" applyNumberFormat="1" applyFont="1" applyBorder="1" applyAlignment="1">
      <alignment horizontal="right"/>
    </xf>
    <xf numFmtId="164" fontId="0" fillId="0" borderId="30" xfId="2" applyNumberFormat="1" applyFont="1" applyBorder="1"/>
    <xf numFmtId="164" fontId="11" fillId="7" borderId="22" xfId="2" applyNumberFormat="1" applyFont="1" applyFill="1" applyBorder="1" applyAlignment="1">
      <alignment horizontal="right"/>
    </xf>
    <xf numFmtId="164" fontId="11" fillId="7" borderId="46" xfId="2" applyNumberFormat="1" applyFont="1" applyFill="1" applyBorder="1"/>
    <xf numFmtId="164" fontId="11" fillId="7" borderId="54" xfId="2" applyNumberFormat="1" applyFont="1" applyFill="1" applyBorder="1"/>
    <xf numFmtId="164" fontId="11" fillId="7" borderId="55" xfId="2" applyNumberFormat="1" applyFont="1" applyFill="1" applyBorder="1"/>
    <xf numFmtId="164" fontId="11" fillId="7" borderId="56" xfId="2" applyNumberFormat="1" applyFont="1" applyFill="1" applyBorder="1"/>
    <xf numFmtId="164" fontId="11" fillId="7" borderId="21" xfId="2" applyNumberFormat="1" applyFont="1" applyFill="1" applyBorder="1"/>
    <xf numFmtId="164" fontId="11" fillId="7" borderId="15" xfId="2" applyNumberFormat="1" applyFont="1" applyFill="1" applyBorder="1"/>
    <xf numFmtId="164" fontId="7" fillId="5" borderId="23" xfId="2" applyNumberFormat="1" applyFont="1" applyFill="1" applyBorder="1" applyAlignment="1"/>
    <xf numFmtId="164" fontId="7" fillId="5" borderId="13" xfId="2" applyNumberFormat="1" applyFont="1" applyFill="1" applyBorder="1" applyAlignment="1"/>
    <xf numFmtId="164" fontId="3" fillId="5" borderId="57" xfId="2" applyNumberFormat="1" applyFont="1" applyFill="1" applyBorder="1" applyAlignment="1">
      <alignment horizontal="center" vertical="center" wrapText="1"/>
    </xf>
    <xf numFmtId="164" fontId="3" fillId="5" borderId="58" xfId="2" applyNumberFormat="1" applyFont="1" applyFill="1" applyBorder="1" applyAlignment="1">
      <alignment horizontal="center" vertical="center" wrapText="1"/>
    </xf>
    <xf numFmtId="43" fontId="6" fillId="0" borderId="0" xfId="2" applyFont="1"/>
    <xf numFmtId="43" fontId="4" fillId="0" borderId="1" xfId="2" applyFont="1" applyBorder="1" applyAlignment="1">
      <alignment vertical="center" wrapText="1"/>
    </xf>
    <xf numFmtId="43" fontId="5" fillId="0" borderId="0" xfId="2" applyFont="1"/>
    <xf numFmtId="43" fontId="3" fillId="5" borderId="0" xfId="2" applyFont="1" applyFill="1"/>
    <xf numFmtId="43" fontId="0" fillId="3" borderId="1" xfId="2" applyFont="1" applyFill="1" applyBorder="1"/>
    <xf numFmtId="43" fontId="0" fillId="4" borderId="1" xfId="2" applyFont="1" applyFill="1" applyBorder="1"/>
    <xf numFmtId="43" fontId="3" fillId="5" borderId="7" xfId="2" applyFont="1" applyFill="1" applyBorder="1"/>
    <xf numFmtId="43" fontId="0" fillId="0" borderId="0" xfId="2" applyFont="1" applyBorder="1" applyAlignment="1">
      <alignment horizontal="center"/>
    </xf>
    <xf numFmtId="43" fontId="0" fillId="4" borderId="3" xfId="2" applyFont="1" applyFill="1" applyBorder="1"/>
    <xf numFmtId="43" fontId="1" fillId="20" borderId="31" xfId="2" applyFont="1" applyFill="1" applyBorder="1" applyAlignment="1">
      <alignment horizontal="center"/>
    </xf>
    <xf numFmtId="43" fontId="0" fillId="3" borderId="17" xfId="2" applyFont="1" applyFill="1" applyBorder="1"/>
    <xf numFmtId="43" fontId="0" fillId="4" borderId="17" xfId="2" applyFont="1" applyFill="1" applyBorder="1"/>
    <xf numFmtId="43" fontId="4" fillId="0" borderId="6" xfId="2" applyFont="1" applyBorder="1" applyAlignment="1">
      <alignment vertical="center" wrapText="1"/>
    </xf>
    <xf numFmtId="43" fontId="3" fillId="6" borderId="0" xfId="2" applyFont="1" applyFill="1"/>
    <xf numFmtId="43" fontId="0" fillId="0" borderId="0" xfId="2" applyFont="1" applyFill="1"/>
    <xf numFmtId="164" fontId="1" fillId="20" borderId="31" xfId="2" applyNumberFormat="1" applyFont="1" applyFill="1" applyBorder="1"/>
    <xf numFmtId="164" fontId="1" fillId="20" borderId="0" xfId="2" applyNumberFormat="1" applyFont="1" applyFill="1"/>
    <xf numFmtId="164" fontId="7" fillId="11" borderId="9" xfId="2" applyNumberFormat="1" applyFont="1" applyFill="1" applyBorder="1" applyAlignment="1">
      <alignment horizontal="center"/>
    </xf>
    <xf numFmtId="164" fontId="7" fillId="12" borderId="9" xfId="2" applyNumberFormat="1" applyFont="1" applyFill="1" applyBorder="1" applyAlignment="1">
      <alignment horizontal="center" vertical="center"/>
    </xf>
    <xf numFmtId="164" fontId="7" fillId="5" borderId="16" xfId="2" applyNumberFormat="1" applyFont="1" applyFill="1" applyBorder="1" applyAlignment="1">
      <alignment vertical="top" wrapText="1"/>
    </xf>
    <xf numFmtId="164" fontId="7" fillId="5" borderId="0" xfId="2" applyNumberFormat="1" applyFont="1" applyFill="1" applyAlignment="1">
      <alignment vertical="top" wrapText="1"/>
    </xf>
    <xf numFmtId="164" fontId="7" fillId="5" borderId="5" xfId="2" applyNumberFormat="1" applyFont="1" applyFill="1" applyBorder="1" applyAlignment="1">
      <alignment vertical="top" wrapText="1"/>
    </xf>
    <xf numFmtId="164" fontId="7" fillId="5" borderId="5" xfId="2" applyNumberFormat="1" applyFont="1" applyFill="1" applyBorder="1" applyAlignment="1">
      <alignment horizontal="center" vertical="center" wrapText="1"/>
    </xf>
    <xf numFmtId="164" fontId="7" fillId="12" borderId="5" xfId="2" applyNumberFormat="1" applyFont="1" applyFill="1" applyBorder="1" applyAlignment="1">
      <alignment horizontal="center" vertical="center" wrapText="1"/>
    </xf>
    <xf numFmtId="164" fontId="1" fillId="0" borderId="3" xfId="2" applyNumberFormat="1" applyFont="1" applyBorder="1"/>
    <xf numFmtId="164" fontId="0" fillId="0" borderId="5" xfId="2" applyNumberFormat="1" applyFont="1" applyBorder="1"/>
    <xf numFmtId="164" fontId="1" fillId="0" borderId="7" xfId="2" applyNumberFormat="1" applyFont="1" applyBorder="1"/>
    <xf numFmtId="164" fontId="1" fillId="0" borderId="6" xfId="2" applyNumberFormat="1" applyFont="1" applyBorder="1"/>
    <xf numFmtId="164" fontId="1" fillId="8" borderId="17" xfId="2" applyNumberFormat="1" applyFont="1" applyFill="1" applyBorder="1"/>
    <xf numFmtId="164" fontId="1" fillId="8" borderId="18" xfId="2" applyNumberFormat="1" applyFont="1" applyFill="1" applyBorder="1"/>
    <xf numFmtId="164" fontId="7" fillId="13" borderId="2" xfId="2" applyNumberFormat="1" applyFont="1" applyFill="1" applyBorder="1"/>
    <xf numFmtId="164" fontId="1" fillId="14" borderId="0" xfId="2" applyNumberFormat="1" applyFont="1" applyFill="1"/>
    <xf numFmtId="164" fontId="7" fillId="15" borderId="0" xfId="2" applyNumberFormat="1" applyFont="1" applyFill="1"/>
    <xf numFmtId="164" fontId="7" fillId="16" borderId="0" xfId="2" applyNumberFormat="1" applyFont="1" applyFill="1"/>
    <xf numFmtId="164" fontId="1" fillId="0" borderId="8" xfId="2" applyNumberFormat="1" applyFont="1" applyBorder="1"/>
    <xf numFmtId="164" fontId="1" fillId="0" borderId="16" xfId="2" applyNumberFormat="1" applyFont="1" applyBorder="1"/>
    <xf numFmtId="164" fontId="0" fillId="0" borderId="0" xfId="2" applyNumberFormat="1" applyFont="1" applyBorder="1" applyAlignment="1">
      <alignment vertical="center"/>
    </xf>
    <xf numFmtId="164" fontId="12" fillId="18" borderId="31" xfId="2" applyNumberFormat="1" applyFont="1" applyFill="1" applyBorder="1" applyAlignment="1">
      <alignment horizontal="center" vertical="center"/>
    </xf>
    <xf numFmtId="164" fontId="12" fillId="18" borderId="26" xfId="2" applyNumberFormat="1" applyFont="1" applyFill="1" applyBorder="1" applyAlignment="1">
      <alignment horizontal="center" vertical="center"/>
    </xf>
    <xf numFmtId="164" fontId="3" fillId="6" borderId="27" xfId="2" applyNumberFormat="1" applyFont="1" applyFill="1" applyBorder="1" applyAlignment="1">
      <alignment horizontal="center" vertical="center" wrapText="1"/>
    </xf>
    <xf numFmtId="164" fontId="0" fillId="0" borderId="13" xfId="2" applyNumberFormat="1" applyFont="1" applyBorder="1" applyAlignment="1">
      <alignment vertical="center"/>
    </xf>
    <xf numFmtId="164" fontId="12" fillId="18" borderId="27" xfId="2" applyNumberFormat="1" applyFont="1" applyFill="1" applyBorder="1" applyAlignment="1">
      <alignment horizontal="center" vertical="center"/>
    </xf>
    <xf numFmtId="164" fontId="12" fillId="18" borderId="28" xfId="2" applyNumberFormat="1" applyFont="1" applyFill="1" applyBorder="1" applyAlignment="1">
      <alignment horizontal="center" vertical="center"/>
    </xf>
    <xf numFmtId="164" fontId="24" fillId="18" borderId="29" xfId="2" applyNumberFormat="1" applyFont="1" applyFill="1" applyBorder="1" applyAlignment="1">
      <alignment horizontal="center" vertical="center" wrapText="1"/>
    </xf>
    <xf numFmtId="9" fontId="1" fillId="20" borderId="30" xfId="1" applyFont="1" applyFill="1" applyBorder="1" applyAlignment="1">
      <alignment horizontal="center"/>
    </xf>
    <xf numFmtId="9" fontId="1" fillId="20" borderId="29" xfId="1" applyFont="1" applyFill="1" applyBorder="1" applyAlignment="1">
      <alignment horizontal="center"/>
    </xf>
    <xf numFmtId="164" fontId="1" fillId="17" borderId="0" xfId="2" applyNumberFormat="1" applyFont="1" applyFill="1"/>
    <xf numFmtId="164" fontId="7" fillId="5" borderId="0" xfId="2" applyNumberFormat="1" applyFont="1" applyFill="1"/>
    <xf numFmtId="164" fontId="0" fillId="8" borderId="20" xfId="2" applyNumberFormat="1" applyFont="1" applyFill="1" applyBorder="1"/>
    <xf numFmtId="164" fontId="5" fillId="0" borderId="30" xfId="2" applyNumberFormat="1" applyFont="1" applyFill="1" applyBorder="1" applyAlignment="1">
      <alignment horizontal="center" vertical="center" wrapText="1"/>
    </xf>
    <xf numFmtId="164" fontId="5" fillId="8" borderId="20" xfId="2" applyNumberFormat="1" applyFont="1" applyFill="1" applyBorder="1" applyAlignment="1">
      <alignment horizontal="left" vertical="center" wrapText="1"/>
    </xf>
    <xf numFmtId="164" fontId="9" fillId="9" borderId="24" xfId="2" applyNumberFormat="1" applyFont="1" applyFill="1" applyBorder="1" applyAlignment="1">
      <alignment horizontal="right"/>
    </xf>
    <xf numFmtId="164" fontId="10" fillId="10" borderId="24" xfId="2" applyNumberFormat="1" applyFont="1" applyFill="1" applyBorder="1" applyAlignment="1">
      <alignment horizontal="right"/>
    </xf>
    <xf numFmtId="164" fontId="3" fillId="6" borderId="0" xfId="2" applyNumberFormat="1" applyFont="1" applyFill="1"/>
    <xf numFmtId="164" fontId="5" fillId="0" borderId="20" xfId="2" applyNumberFormat="1" applyFont="1" applyFill="1" applyBorder="1" applyAlignment="1">
      <alignment horizontal="left" vertical="center" wrapText="1"/>
    </xf>
    <xf numFmtId="164" fontId="9" fillId="9" borderId="20" xfId="2" applyNumberFormat="1" applyFont="1" applyFill="1" applyBorder="1" applyAlignment="1">
      <alignment horizontal="right"/>
    </xf>
    <xf numFmtId="164" fontId="7" fillId="21" borderId="0" xfId="2" applyNumberFormat="1" applyFont="1" applyFill="1"/>
    <xf numFmtId="164" fontId="7" fillId="21" borderId="30" xfId="2" applyNumberFormat="1" applyFont="1" applyFill="1" applyBorder="1"/>
    <xf numFmtId="164" fontId="3" fillId="5" borderId="33" xfId="2" applyNumberFormat="1" applyFont="1" applyFill="1" applyBorder="1" applyAlignment="1">
      <alignment horizontal="center" vertical="center" wrapText="1"/>
    </xf>
    <xf numFmtId="164" fontId="1" fillId="2" borderId="0" xfId="2" applyNumberFormat="1" applyFont="1" applyFill="1"/>
    <xf numFmtId="164" fontId="0" fillId="0" borderId="0" xfId="2" applyNumberFormat="1" applyFont="1" applyAlignment="1">
      <alignment horizontal="right"/>
    </xf>
    <xf numFmtId="164" fontId="11" fillId="7" borderId="24" xfId="2" applyNumberFormat="1" applyFont="1" applyFill="1" applyBorder="1" applyAlignment="1">
      <alignment horizontal="right"/>
    </xf>
    <xf numFmtId="164" fontId="11" fillId="7" borderId="33" xfId="2" applyNumberFormat="1" applyFont="1" applyFill="1" applyBorder="1"/>
    <xf numFmtId="164" fontId="7" fillId="21" borderId="29" xfId="2" applyNumberFormat="1" applyFont="1" applyFill="1" applyBorder="1"/>
    <xf numFmtId="164" fontId="7" fillId="5" borderId="25" xfId="2" applyNumberFormat="1" applyFont="1" applyFill="1" applyBorder="1" applyAlignment="1">
      <alignment horizontal="center" vertical="center" wrapText="1"/>
    </xf>
    <xf numFmtId="164" fontId="7" fillId="5" borderId="11" xfId="2" applyNumberFormat="1" applyFont="1" applyFill="1" applyBorder="1" applyAlignment="1">
      <alignment horizontal="center" vertical="center" wrapText="1"/>
    </xf>
    <xf numFmtId="164" fontId="7" fillId="5" borderId="26" xfId="2" applyNumberFormat="1" applyFont="1" applyFill="1" applyBorder="1" applyAlignment="1">
      <alignment horizontal="center" vertical="center" wrapText="1"/>
    </xf>
    <xf numFmtId="164" fontId="0" fillId="0" borderId="39" xfId="2" applyNumberFormat="1" applyFont="1" applyBorder="1"/>
    <xf numFmtId="164" fontId="0" fillId="0" borderId="41" xfId="2" applyNumberFormat="1" applyFont="1" applyBorder="1"/>
    <xf numFmtId="164" fontId="0" fillId="0" borderId="34" xfId="2" applyNumberFormat="1" applyFont="1" applyBorder="1"/>
    <xf numFmtId="164" fontId="0" fillId="0" borderId="35" xfId="2" applyNumberFormat="1" applyFont="1" applyBorder="1"/>
    <xf numFmtId="164" fontId="0" fillId="0" borderId="36" xfId="2" applyNumberFormat="1" applyFont="1" applyBorder="1"/>
    <xf numFmtId="164" fontId="0" fillId="0" borderId="37" xfId="2" applyNumberFormat="1" applyFont="1" applyBorder="1"/>
    <xf numFmtId="9" fontId="0" fillId="0" borderId="38" xfId="1" applyFont="1" applyBorder="1"/>
    <xf numFmtId="9" fontId="0" fillId="0" borderId="40" xfId="1" applyFont="1" applyBorder="1"/>
    <xf numFmtId="164" fontId="27" fillId="0" borderId="0" xfId="2" applyNumberFormat="1" applyFont="1" applyFill="1" applyBorder="1" applyAlignment="1">
      <alignment vertical="top" wrapText="1"/>
    </xf>
    <xf numFmtId="164" fontId="27" fillId="0" borderId="1" xfId="2" applyNumberFormat="1" applyFont="1" applyFill="1" applyBorder="1"/>
    <xf numFmtId="164" fontId="27" fillId="0" borderId="2" xfId="2" applyNumberFormat="1" applyFont="1" applyFill="1" applyBorder="1"/>
    <xf numFmtId="164" fontId="3" fillId="5" borderId="1" xfId="2" applyNumberFormat="1" applyFont="1" applyFill="1" applyBorder="1"/>
    <xf numFmtId="164" fontId="7" fillId="5" borderId="1" xfId="2" applyNumberFormat="1" applyFont="1" applyFill="1" applyBorder="1" applyAlignment="1">
      <alignment horizontal="center" vertical="center" wrapText="1"/>
    </xf>
    <xf numFmtId="164" fontId="1" fillId="0" borderId="1" xfId="2" applyNumberFormat="1" applyFont="1" applyFill="1" applyBorder="1" applyAlignment="1">
      <alignment horizontal="right"/>
    </xf>
    <xf numFmtId="9" fontId="0" fillId="0" borderId="0" xfId="1" applyFont="1"/>
    <xf numFmtId="164" fontId="1" fillId="22" borderId="0" xfId="2" applyNumberFormat="1" applyFont="1" applyFill="1" applyAlignment="1">
      <alignment horizontal="center" vertical="center" wrapText="1"/>
    </xf>
    <xf numFmtId="9" fontId="0" fillId="3" borderId="44" xfId="1" applyFont="1" applyFill="1" applyBorder="1" applyAlignment="1">
      <alignment horizontal="center" vertical="center"/>
    </xf>
    <xf numFmtId="9" fontId="0" fillId="4" borderId="45" xfId="1" applyFont="1" applyFill="1" applyBorder="1" applyAlignment="1">
      <alignment horizontal="center" vertical="center"/>
    </xf>
    <xf numFmtId="164" fontId="7" fillId="6" borderId="23" xfId="2" applyNumberFormat="1" applyFont="1" applyFill="1" applyBorder="1"/>
    <xf numFmtId="164" fontId="7" fillId="6" borderId="13" xfId="2" applyNumberFormat="1" applyFont="1" applyFill="1" applyBorder="1"/>
    <xf numFmtId="164" fontId="7" fillId="6" borderId="14" xfId="2" applyNumberFormat="1" applyFont="1" applyFill="1" applyBorder="1"/>
    <xf numFmtId="9" fontId="0" fillId="0" borderId="12" xfId="1" applyFont="1" applyBorder="1"/>
    <xf numFmtId="9" fontId="0" fillId="0" borderId="14" xfId="1" applyFont="1" applyBorder="1"/>
    <xf numFmtId="9" fontId="1" fillId="17" borderId="29" xfId="1" applyFont="1" applyFill="1" applyBorder="1" applyAlignment="1">
      <alignment horizontal="center"/>
    </xf>
    <xf numFmtId="164" fontId="0" fillId="17" borderId="0" xfId="2" applyNumberFormat="1" applyFont="1" applyFill="1"/>
    <xf numFmtId="164" fontId="0" fillId="0" borderId="0" xfId="2" applyNumberFormat="1" applyFont="1" applyAlignment="1"/>
    <xf numFmtId="164" fontId="0" fillId="0" borderId="22" xfId="2" applyNumberFormat="1" applyFont="1" applyFill="1" applyBorder="1" applyAlignment="1">
      <alignment vertical="center"/>
    </xf>
    <xf numFmtId="164" fontId="0" fillId="0" borderId="0" xfId="2" applyNumberFormat="1" applyFont="1" applyFill="1" applyBorder="1" applyAlignment="1">
      <alignment vertical="center"/>
    </xf>
    <xf numFmtId="164" fontId="0" fillId="0" borderId="12" xfId="2" applyNumberFormat="1" applyFont="1" applyBorder="1" applyAlignment="1">
      <alignment vertical="center"/>
    </xf>
    <xf numFmtId="164" fontId="0" fillId="0" borderId="0" xfId="2" applyNumberFormat="1" applyFont="1" applyAlignment="1">
      <alignment vertical="center"/>
    </xf>
    <xf numFmtId="165" fontId="0" fillId="0" borderId="39" xfId="2" applyNumberFormat="1" applyFont="1" applyBorder="1"/>
    <xf numFmtId="165" fontId="0" fillId="0" borderId="41" xfId="2" applyNumberFormat="1" applyFont="1" applyBorder="1"/>
    <xf numFmtId="168" fontId="4" fillId="0" borderId="1" xfId="2" applyNumberFormat="1" applyFont="1" applyBorder="1" applyAlignment="1">
      <alignment vertical="center" wrapText="1"/>
    </xf>
    <xf numFmtId="164" fontId="7" fillId="11" borderId="9" xfId="2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12" xfId="0" applyBorder="1"/>
    <xf numFmtId="164" fontId="1" fillId="2" borderId="23" xfId="2" applyNumberFormat="1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2" fontId="0" fillId="0" borderId="0" xfId="0" applyNumberFormat="1" applyBorder="1"/>
    <xf numFmtId="0" fontId="28" fillId="0" borderId="0" xfId="0" applyFont="1"/>
    <xf numFmtId="2" fontId="0" fillId="2" borderId="13" xfId="0" applyNumberFormat="1" applyFill="1" applyBorder="1"/>
    <xf numFmtId="164" fontId="28" fillId="0" borderId="0" xfId="2" applyNumberFormat="1" applyFont="1" applyFill="1" applyBorder="1" applyAlignment="1">
      <alignment horizontal="left"/>
    </xf>
    <xf numFmtId="164" fontId="28" fillId="0" borderId="0" xfId="2" applyNumberFormat="1" applyFont="1" applyFill="1" applyBorder="1" applyAlignment="1">
      <alignment horizontal="left" indent="2"/>
    </xf>
    <xf numFmtId="0" fontId="27" fillId="2" borderId="59" xfId="0" applyFont="1" applyFill="1" applyBorder="1" applyAlignment="1">
      <alignment horizontal="center" vertical="center" wrapText="1"/>
    </xf>
    <xf numFmtId="0" fontId="27" fillId="2" borderId="60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 wrapText="1"/>
    </xf>
    <xf numFmtId="0" fontId="27" fillId="23" borderId="60" xfId="0" applyFont="1" applyFill="1" applyBorder="1" applyAlignment="1">
      <alignment horizontal="center" vertical="center" wrapText="1"/>
    </xf>
    <xf numFmtId="0" fontId="7" fillId="24" borderId="60" xfId="0" applyFont="1" applyFill="1" applyBorder="1" applyAlignment="1">
      <alignment horizontal="center" vertical="center" wrapText="1"/>
    </xf>
    <xf numFmtId="0" fontId="27" fillId="25" borderId="60" xfId="0" applyFont="1" applyFill="1" applyBorder="1" applyAlignment="1">
      <alignment horizontal="center" vertical="center" wrapText="1"/>
    </xf>
    <xf numFmtId="0" fontId="27" fillId="25" borderId="61" xfId="0" applyFont="1" applyFill="1" applyBorder="1" applyAlignment="1">
      <alignment horizontal="center" vertical="center" wrapText="1"/>
    </xf>
    <xf numFmtId="169" fontId="5" fillId="26" borderId="1" xfId="0" applyNumberFormat="1" applyFont="1" applyFill="1" applyBorder="1" applyAlignment="1">
      <alignment horizontal="left" vertical="center" wrapText="1"/>
    </xf>
    <xf numFmtId="1" fontId="5" fillId="26" borderId="1" xfId="0" applyNumberFormat="1" applyFont="1" applyFill="1" applyBorder="1" applyAlignment="1">
      <alignment horizontal="center" vertical="center" wrapText="1"/>
    </xf>
    <xf numFmtId="2" fontId="5" fillId="27" borderId="1" xfId="5" applyNumberFormat="1" applyFont="1" applyFill="1" applyBorder="1" applyAlignment="1">
      <alignment horizontal="center" vertical="center" wrapText="1"/>
    </xf>
    <xf numFmtId="2" fontId="5" fillId="23" borderId="1" xfId="5" applyNumberFormat="1" applyFont="1" applyFill="1" applyBorder="1" applyAlignment="1">
      <alignment horizontal="center" vertical="center" wrapText="1"/>
    </xf>
    <xf numFmtId="169" fontId="7" fillId="24" borderId="1" xfId="6" applyNumberFormat="1" applyFont="1" applyFill="1" applyBorder="1" applyAlignment="1">
      <alignment horizontal="center" vertical="center" wrapText="1"/>
    </xf>
    <xf numFmtId="169" fontId="5" fillId="4" borderId="1" xfId="6" applyNumberFormat="1" applyFont="1" applyFill="1" applyBorder="1" applyAlignment="1">
      <alignment horizontal="left" vertical="center" wrapText="1"/>
    </xf>
    <xf numFmtId="169" fontId="5" fillId="4" borderId="63" xfId="6" applyNumberFormat="1" applyFont="1" applyFill="1" applyBorder="1" applyAlignment="1">
      <alignment horizontal="left" vertical="center" wrapText="1"/>
    </xf>
    <xf numFmtId="169" fontId="5" fillId="14" borderId="1" xfId="0" applyNumberFormat="1" applyFont="1" applyFill="1" applyBorder="1" applyAlignment="1">
      <alignment horizontal="left" vertical="center" wrapText="1"/>
    </xf>
    <xf numFmtId="169" fontId="5" fillId="22" borderId="1" xfId="0" applyNumberFormat="1" applyFont="1" applyFill="1" applyBorder="1" applyAlignment="1">
      <alignment horizontal="left" vertical="center" wrapText="1"/>
    </xf>
    <xf numFmtId="169" fontId="5" fillId="26" borderId="1" xfId="0" applyNumberFormat="1" applyFont="1" applyFill="1" applyBorder="1" applyAlignment="1">
      <alignment vertical="center" wrapText="1"/>
    </xf>
    <xf numFmtId="169" fontId="5" fillId="14" borderId="65" xfId="0" applyNumberFormat="1" applyFont="1" applyFill="1" applyBorder="1" applyAlignment="1">
      <alignment horizontal="left" vertical="center" wrapText="1"/>
    </xf>
    <xf numFmtId="1" fontId="5" fillId="26" borderId="65" xfId="0" applyNumberFormat="1" applyFont="1" applyFill="1" applyBorder="1" applyAlignment="1">
      <alignment horizontal="center" vertical="center" wrapText="1"/>
    </xf>
    <xf numFmtId="169" fontId="5" fillId="26" borderId="65" xfId="0" applyNumberFormat="1" applyFont="1" applyFill="1" applyBorder="1" applyAlignment="1">
      <alignment horizontal="left" vertical="center" wrapText="1"/>
    </xf>
    <xf numFmtId="2" fontId="5" fillId="27" borderId="65" xfId="5" applyNumberFormat="1" applyFont="1" applyFill="1" applyBorder="1" applyAlignment="1">
      <alignment horizontal="center" vertical="center" wrapText="1"/>
    </xf>
    <xf numFmtId="2" fontId="5" fillId="23" borderId="65" xfId="5" applyNumberFormat="1" applyFont="1" applyFill="1" applyBorder="1" applyAlignment="1">
      <alignment horizontal="center" vertical="center" wrapText="1"/>
    </xf>
    <xf numFmtId="169" fontId="7" fillId="24" borderId="65" xfId="6" applyNumberFormat="1" applyFont="1" applyFill="1" applyBorder="1" applyAlignment="1">
      <alignment horizontal="center" vertical="center" wrapText="1"/>
    </xf>
    <xf numFmtId="169" fontId="5" fillId="4" borderId="65" xfId="6" applyNumberFormat="1" applyFont="1" applyFill="1" applyBorder="1" applyAlignment="1">
      <alignment horizontal="left" vertical="center" wrapText="1"/>
    </xf>
    <xf numFmtId="169" fontId="5" fillId="4" borderId="66" xfId="6" applyNumberFormat="1" applyFont="1" applyFill="1" applyBorder="1" applyAlignment="1">
      <alignment horizontal="left" vertical="center" wrapText="1"/>
    </xf>
    <xf numFmtId="0" fontId="1" fillId="17" borderId="0" xfId="0" applyFont="1" applyFill="1"/>
    <xf numFmtId="1" fontId="5" fillId="27" borderId="1" xfId="5" applyNumberFormat="1" applyFont="1" applyFill="1" applyBorder="1" applyAlignment="1">
      <alignment horizontal="center" vertical="center" wrapText="1"/>
    </xf>
    <xf numFmtId="169" fontId="5" fillId="20" borderId="1" xfId="0" applyNumberFormat="1" applyFont="1" applyFill="1" applyBorder="1" applyAlignment="1">
      <alignment horizontal="left" vertical="center" wrapText="1"/>
    </xf>
    <xf numFmtId="1" fontId="5" fillId="27" borderId="65" xfId="5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5" fillId="27" borderId="1" xfId="5" applyNumberFormat="1" applyFont="1" applyFill="1" applyBorder="1" applyAlignment="1">
      <alignment horizontal="center" vertical="center" wrapText="1"/>
    </xf>
    <xf numFmtId="171" fontId="7" fillId="24" borderId="1" xfId="6" applyNumberFormat="1" applyFont="1" applyFill="1" applyBorder="1" applyAlignment="1">
      <alignment horizontal="center" vertical="center" wrapText="1"/>
    </xf>
    <xf numFmtId="0" fontId="5" fillId="27" borderId="1" xfId="5" applyNumberFormat="1" applyFont="1" applyFill="1" applyBorder="1" applyAlignment="1">
      <alignment horizontal="center" vertical="center"/>
    </xf>
    <xf numFmtId="0" fontId="5" fillId="14" borderId="65" xfId="0" applyFont="1" applyFill="1" applyBorder="1" applyAlignment="1">
      <alignment horizontal="left" vertical="center" wrapText="1"/>
    </xf>
    <xf numFmtId="0" fontId="5" fillId="27" borderId="65" xfId="5" applyNumberFormat="1" applyFont="1" applyFill="1" applyBorder="1" applyAlignment="1">
      <alignment horizontal="center" vertical="center"/>
    </xf>
    <xf numFmtId="0" fontId="5" fillId="27" borderId="65" xfId="5" applyNumberFormat="1" applyFont="1" applyFill="1" applyBorder="1" applyAlignment="1">
      <alignment horizontal="center" vertical="center" wrapText="1"/>
    </xf>
    <xf numFmtId="171" fontId="7" fillId="24" borderId="65" xfId="6" applyNumberFormat="1" applyFont="1" applyFill="1" applyBorder="1" applyAlignment="1">
      <alignment horizontal="center" vertical="center" wrapText="1"/>
    </xf>
    <xf numFmtId="169" fontId="5" fillId="4" borderId="0" xfId="6" applyNumberFormat="1" applyFont="1" applyFill="1" applyBorder="1" applyAlignment="1">
      <alignment horizontal="left" vertical="center" wrapText="1"/>
    </xf>
    <xf numFmtId="169" fontId="5" fillId="0" borderId="0" xfId="6" applyNumberFormat="1" applyFont="1" applyFill="1" applyBorder="1" applyAlignment="1">
      <alignment horizontal="left" vertical="center" wrapText="1"/>
    </xf>
    <xf numFmtId="0" fontId="0" fillId="0" borderId="0" xfId="0" applyFill="1"/>
    <xf numFmtId="169" fontId="5" fillId="8" borderId="0" xfId="6" applyNumberFormat="1" applyFont="1" applyFill="1" applyBorder="1" applyAlignment="1">
      <alignment horizontal="left" vertical="center" wrapText="1"/>
    </xf>
    <xf numFmtId="9" fontId="1" fillId="17" borderId="0" xfId="0" applyNumberFormat="1" applyFont="1" applyFill="1"/>
    <xf numFmtId="169" fontId="5" fillId="7" borderId="1" xfId="6" applyNumberFormat="1" applyFont="1" applyFill="1" applyBorder="1" applyAlignment="1">
      <alignment horizontal="left" vertical="center" wrapText="1"/>
    </xf>
    <xf numFmtId="169" fontId="5" fillId="7" borderId="63" xfId="6" applyNumberFormat="1" applyFont="1" applyFill="1" applyBorder="1" applyAlignment="1">
      <alignment horizontal="left" vertical="center" wrapText="1"/>
    </xf>
    <xf numFmtId="169" fontId="5" fillId="8" borderId="0" xfId="0" applyNumberFormat="1" applyFont="1" applyFill="1"/>
    <xf numFmtId="169" fontId="5" fillId="0" borderId="0" xfId="0" applyNumberFormat="1" applyFont="1" applyFill="1"/>
    <xf numFmtId="169" fontId="0" fillId="8" borderId="0" xfId="0" applyNumberFormat="1" applyFill="1"/>
    <xf numFmtId="0" fontId="7" fillId="5" borderId="59" xfId="0" applyFont="1" applyFill="1" applyBorder="1" applyAlignment="1">
      <alignment horizontal="left" vertical="center"/>
    </xf>
    <xf numFmtId="0" fontId="7" fillId="5" borderId="61" xfId="0" applyFont="1" applyFill="1" applyBorder="1" applyAlignment="1">
      <alignment horizontal="center" vertical="center" wrapText="1"/>
    </xf>
    <xf numFmtId="164" fontId="0" fillId="8" borderId="30" xfId="2" applyNumberFormat="1" applyFont="1" applyFill="1" applyBorder="1"/>
    <xf numFmtId="164" fontId="0" fillId="28" borderId="0" xfId="2" applyNumberFormat="1" applyFont="1" applyFill="1"/>
    <xf numFmtId="164" fontId="7" fillId="28" borderId="0" xfId="2" applyNumberFormat="1" applyFont="1" applyFill="1" applyAlignment="1">
      <alignment horizontal="center"/>
    </xf>
    <xf numFmtId="164" fontId="0" fillId="14" borderId="0" xfId="2" applyNumberFormat="1" applyFont="1" applyFill="1"/>
    <xf numFmtId="164" fontId="7" fillId="5" borderId="48" xfId="2" applyNumberFormat="1" applyFont="1" applyFill="1" applyBorder="1" applyAlignment="1">
      <alignment horizontal="center" vertical="center" wrapText="1"/>
    </xf>
    <xf numFmtId="164" fontId="7" fillId="5" borderId="51" xfId="2" applyNumberFormat="1" applyFont="1" applyFill="1" applyBorder="1" applyAlignment="1">
      <alignment horizontal="center" vertical="center" wrapText="1"/>
    </xf>
    <xf numFmtId="9" fontId="1" fillId="0" borderId="70" xfId="1" applyFont="1" applyBorder="1" applyAlignment="1">
      <alignment horizontal="center"/>
    </xf>
    <xf numFmtId="164" fontId="1" fillId="0" borderId="71" xfId="2" applyNumberFormat="1" applyFont="1" applyBorder="1" applyAlignment="1">
      <alignment horizontal="center"/>
    </xf>
    <xf numFmtId="9" fontId="1" fillId="0" borderId="72" xfId="1" applyFont="1" applyBorder="1" applyAlignment="1">
      <alignment horizontal="center"/>
    </xf>
    <xf numFmtId="164" fontId="1" fillId="0" borderId="73" xfId="2" applyNumberFormat="1" applyFont="1" applyBorder="1" applyAlignment="1">
      <alignment horizontal="center"/>
    </xf>
    <xf numFmtId="164" fontId="0" fillId="8" borderId="24" xfId="2" applyNumberFormat="1" applyFont="1" applyFill="1" applyBorder="1"/>
    <xf numFmtId="0" fontId="18" fillId="10" borderId="22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9" fillId="10" borderId="12" xfId="0" applyFont="1" applyFill="1" applyBorder="1" applyAlignment="1">
      <alignment horizontal="center" vertical="center" wrapText="1"/>
    </xf>
    <xf numFmtId="0" fontId="18" fillId="10" borderId="23" xfId="0" applyFont="1" applyFill="1" applyBorder="1" applyAlignment="1">
      <alignment horizontal="center" wrapText="1"/>
    </xf>
    <xf numFmtId="0" fontId="18" fillId="10" borderId="13" xfId="0" applyFont="1" applyFill="1" applyBorder="1" applyAlignment="1">
      <alignment horizontal="center" wrapText="1"/>
    </xf>
    <xf numFmtId="0" fontId="19" fillId="10" borderId="14" xfId="0" applyFont="1" applyFill="1" applyBorder="1" applyAlignment="1">
      <alignment horizontal="center" wrapText="1"/>
    </xf>
    <xf numFmtId="0" fontId="20" fillId="10" borderId="22" xfId="3" applyFont="1" applyFill="1" applyBorder="1" applyAlignment="1">
      <alignment horizontal="center" vertical="center" wrapText="1"/>
    </xf>
    <xf numFmtId="0" fontId="20" fillId="10" borderId="0" xfId="3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vertical="center" wrapText="1"/>
    </xf>
    <xf numFmtId="0" fontId="21" fillId="10" borderId="22" xfId="0" applyFont="1" applyFill="1" applyBorder="1" applyAlignment="1">
      <alignment vertical="center" wrapText="1"/>
    </xf>
    <xf numFmtId="0" fontId="21" fillId="10" borderId="0" xfId="0" applyFont="1" applyFill="1" applyBorder="1" applyAlignment="1">
      <alignment vertical="center" wrapText="1"/>
    </xf>
    <xf numFmtId="0" fontId="15" fillId="10" borderId="22" xfId="3" applyFont="1" applyFill="1" applyBorder="1" applyAlignment="1">
      <alignment horizontal="center"/>
    </xf>
    <xf numFmtId="0" fontId="15" fillId="10" borderId="0" xfId="3" applyFon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18" fillId="10" borderId="22" xfId="0" applyFont="1" applyFill="1" applyBorder="1" applyAlignment="1">
      <alignment horizontal="center" wrapText="1"/>
    </xf>
    <xf numFmtId="0" fontId="18" fillId="10" borderId="0" xfId="0" applyFont="1" applyFill="1" applyBorder="1" applyAlignment="1">
      <alignment horizontal="center" wrapText="1"/>
    </xf>
    <xf numFmtId="0" fontId="19" fillId="10" borderId="12" xfId="0" applyFont="1" applyFill="1" applyBorder="1" applyAlignment="1">
      <alignment horizontal="center" wrapText="1"/>
    </xf>
    <xf numFmtId="164" fontId="1" fillId="9" borderId="42" xfId="2" applyNumberFormat="1" applyFont="1" applyFill="1" applyBorder="1" applyAlignment="1">
      <alignment horizontal="center"/>
    </xf>
    <xf numFmtId="164" fontId="1" fillId="9" borderId="43" xfId="2" applyNumberFormat="1" applyFont="1" applyFill="1" applyBorder="1" applyAlignment="1">
      <alignment horizontal="center"/>
    </xf>
    <xf numFmtId="164" fontId="1" fillId="9" borderId="28" xfId="2" applyNumberFormat="1" applyFont="1" applyFill="1" applyBorder="1" applyAlignment="1">
      <alignment horizontal="center"/>
    </xf>
    <xf numFmtId="43" fontId="4" fillId="0" borderId="3" xfId="2" applyFont="1" applyBorder="1" applyAlignment="1">
      <alignment horizontal="center" vertical="center" wrapText="1"/>
    </xf>
    <xf numFmtId="43" fontId="4" fillId="0" borderId="7" xfId="2" applyFont="1" applyBorder="1" applyAlignment="1">
      <alignment horizontal="center" vertical="center" wrapText="1"/>
    </xf>
    <xf numFmtId="43" fontId="4" fillId="0" borderId="8" xfId="2" applyFont="1" applyBorder="1" applyAlignment="1">
      <alignment horizontal="right" vertical="center" wrapText="1"/>
    </xf>
    <xf numFmtId="43" fontId="4" fillId="0" borderId="4" xfId="2" applyFont="1" applyBorder="1" applyAlignment="1">
      <alignment horizontal="right" vertical="center" wrapText="1"/>
    </xf>
    <xf numFmtId="43" fontId="0" fillId="0" borderId="3" xfId="2" applyFont="1" applyBorder="1" applyAlignment="1">
      <alignment horizontal="center"/>
    </xf>
    <xf numFmtId="43" fontId="0" fillId="0" borderId="6" xfId="2" applyFont="1" applyBorder="1" applyAlignment="1">
      <alignment horizontal="center"/>
    </xf>
    <xf numFmtId="164" fontId="7" fillId="11" borderId="16" xfId="2" applyNumberFormat="1" applyFont="1" applyFill="1" applyBorder="1" applyAlignment="1">
      <alignment horizontal="center"/>
    </xf>
    <xf numFmtId="164" fontId="7" fillId="11" borderId="9" xfId="2" applyNumberFormat="1" applyFont="1" applyFill="1" applyBorder="1" applyAlignment="1">
      <alignment horizontal="center"/>
    </xf>
    <xf numFmtId="164" fontId="7" fillId="11" borderId="4" xfId="2" applyNumberFormat="1" applyFont="1" applyFill="1" applyBorder="1" applyAlignment="1">
      <alignment horizontal="center"/>
    </xf>
    <xf numFmtId="164" fontId="7" fillId="11" borderId="8" xfId="2" applyNumberFormat="1" applyFont="1" applyFill="1" applyBorder="1" applyAlignment="1">
      <alignment horizontal="center"/>
    </xf>
    <xf numFmtId="165" fontId="13" fillId="19" borderId="31" xfId="2" applyNumberFormat="1" applyFont="1" applyFill="1" applyBorder="1" applyAlignment="1">
      <alignment horizontal="center" vertical="center"/>
    </xf>
    <xf numFmtId="165" fontId="13" fillId="19" borderId="29" xfId="2" applyNumberFormat="1" applyFont="1" applyFill="1" applyBorder="1" applyAlignment="1">
      <alignment horizontal="center" vertical="center"/>
    </xf>
    <xf numFmtId="43" fontId="13" fillId="19" borderId="31" xfId="2" applyNumberFormat="1" applyFont="1" applyFill="1" applyBorder="1" applyAlignment="1">
      <alignment horizontal="center" vertical="center"/>
    </xf>
    <xf numFmtId="43" fontId="13" fillId="19" borderId="29" xfId="2" applyNumberFormat="1" applyFont="1" applyFill="1" applyBorder="1" applyAlignment="1">
      <alignment horizontal="center" vertical="center"/>
    </xf>
    <xf numFmtId="164" fontId="0" fillId="20" borderId="42" xfId="2" applyNumberFormat="1" applyFont="1" applyFill="1" applyBorder="1" applyAlignment="1">
      <alignment horizontal="center" vertical="center"/>
    </xf>
    <xf numFmtId="164" fontId="0" fillId="20" borderId="43" xfId="2" applyNumberFormat="1" applyFont="1" applyFill="1" applyBorder="1" applyAlignment="1">
      <alignment horizontal="center" vertical="center"/>
    </xf>
    <xf numFmtId="164" fontId="0" fillId="20" borderId="28" xfId="2" applyNumberFormat="1" applyFont="1" applyFill="1" applyBorder="1" applyAlignment="1">
      <alignment horizontal="center" vertical="center"/>
    </xf>
    <xf numFmtId="164" fontId="7" fillId="5" borderId="0" xfId="2" applyNumberFormat="1" applyFont="1" applyFill="1" applyAlignment="1">
      <alignment horizontal="right"/>
    </xf>
    <xf numFmtId="164" fontId="7" fillId="5" borderId="47" xfId="2" applyNumberFormat="1" applyFont="1" applyFill="1" applyBorder="1" applyAlignment="1">
      <alignment horizontal="right"/>
    </xf>
    <xf numFmtId="169" fontId="5" fillId="26" borderId="62" xfId="0" applyNumberFormat="1" applyFont="1" applyFill="1" applyBorder="1" applyAlignment="1">
      <alignment horizontal="center" vertical="center" textRotation="90" wrapText="1"/>
    </xf>
    <xf numFmtId="169" fontId="5" fillId="26" borderId="64" xfId="0" applyNumberFormat="1" applyFont="1" applyFill="1" applyBorder="1" applyAlignment="1">
      <alignment horizontal="center" vertical="center" textRotation="90" wrapText="1"/>
    </xf>
    <xf numFmtId="0" fontId="5" fillId="14" borderId="67" xfId="0" applyFont="1" applyFill="1" applyBorder="1" applyAlignment="1">
      <alignment horizontal="center" vertical="center" textRotation="90" wrapText="1"/>
    </xf>
    <xf numFmtId="0" fontId="5" fillId="14" borderId="68" xfId="0" applyFont="1" applyFill="1" applyBorder="1" applyAlignment="1">
      <alignment horizontal="center" vertical="center" textRotation="90" wrapText="1"/>
    </xf>
    <xf numFmtId="0" fontId="5" fillId="14" borderId="69" xfId="0" applyFont="1" applyFill="1" applyBorder="1" applyAlignment="1">
      <alignment horizontal="center" vertical="center" textRotation="90" wrapText="1"/>
    </xf>
  </cellXfs>
  <cellStyles count="7">
    <cellStyle name="Comma" xfId="2" builtinId="3"/>
    <cellStyle name="Hyperlink" xfId="4" builtinId="8"/>
    <cellStyle name="Milliers 2" xfId="5" xr:uid="{A6A9E011-4679-4E3E-9418-846B0A290BFE}"/>
    <cellStyle name="Normal" xfId="0" builtinId="0"/>
    <cellStyle name="Normal 11" xfId="3" xr:uid="{C81CEB74-C9A9-4465-AD7D-6186294DAC68}"/>
    <cellStyle name="Percent" xfId="1" builtinId="5"/>
    <cellStyle name="Pourcentage 2" xfId="6" xr:uid="{8E914C60-0B6E-40DC-BE6D-8EED2EC84D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'1-CBA'!$C$38</c:f>
              <c:strCache>
                <c:ptCount val="1"/>
                <c:pt idx="0">
                  <c:v> NPV (M.USD) with the GCF funds 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'1-CBA'!$B$39:$B$43</c:f>
              <c:numCache>
                <c:formatCode>0%</c:formatCode>
                <c:ptCount val="5"/>
                <c:pt idx="0">
                  <c:v>0.05</c:v>
                </c:pt>
                <c:pt idx="1">
                  <c:v>0.08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</c:numCache>
            </c:numRef>
          </c:xVal>
          <c:yVal>
            <c:numRef>
              <c:f>'1-CBA'!$C$39:$C$43</c:f>
              <c:numCache>
                <c:formatCode>_-* #,##0_-;\-* #,##0_-;_-* "-"??_-;_-@_-</c:formatCode>
                <c:ptCount val="5"/>
                <c:pt idx="0">
                  <c:v>955.80817203689105</c:v>
                </c:pt>
                <c:pt idx="1">
                  <c:v>493.49074779853265</c:v>
                </c:pt>
                <c:pt idx="2">
                  <c:v>332.31464866207068</c:v>
                </c:pt>
                <c:pt idx="3">
                  <c:v>135.78722133316523</c:v>
                </c:pt>
                <c:pt idx="4">
                  <c:v>56.88704288094651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D7-407B-BF02-040854627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853440"/>
        <c:axId val="703849832"/>
      </c:scatterChart>
      <c:valAx>
        <c:axId val="70385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849832"/>
        <c:crosses val="autoZero"/>
        <c:crossBetween val="midCat"/>
      </c:valAx>
      <c:valAx>
        <c:axId val="70384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85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'4-CBA Sensitivity Analysis'!$C$47</c:f>
              <c:strCache>
                <c:ptCount val="1"/>
                <c:pt idx="0">
                  <c:v> NPV reference (M.USD)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'4-CBA Sensitivity Analysis'!$B$49:$B$53</c:f>
              <c:numCache>
                <c:formatCode>0%</c:formatCode>
                <c:ptCount val="5"/>
                <c:pt idx="0">
                  <c:v>0.05</c:v>
                </c:pt>
                <c:pt idx="1">
                  <c:v>0.08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</c:numCache>
            </c:numRef>
          </c:xVal>
          <c:yVal>
            <c:numRef>
              <c:f>'4-CBA Sensitivity Analysis'!$C$49:$C$53</c:f>
              <c:numCache>
                <c:formatCode>_-* #,##0_-;\-* #,##0_-;_-* "-"??_-;_-@_-</c:formatCode>
                <c:ptCount val="5"/>
                <c:pt idx="0">
                  <c:v>973.27903064408576</c:v>
                </c:pt>
                <c:pt idx="1">
                  <c:v>503.47642022999293</c:v>
                </c:pt>
                <c:pt idx="2">
                  <c:v>339.60574549166461</c:v>
                </c:pt>
                <c:pt idx="3">
                  <c:v>139.61144522425303</c:v>
                </c:pt>
                <c:pt idx="4">
                  <c:v>59.170422212084361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37-44E0-B3C8-086D6FBF00DB}"/>
            </c:ext>
          </c:extLst>
        </c:ser>
        <c:ser>
          <c:idx val="1"/>
          <c:order val="1"/>
          <c:tx>
            <c:strRef>
              <c:f>'4-CBA Sensitivity Analysis'!$D$48</c:f>
              <c:strCache>
                <c:ptCount val="1"/>
                <c:pt idx="0">
                  <c:v>-30%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'4-CBA Sensitivity Analysis'!$B$49:$B$53</c:f>
              <c:numCache>
                <c:formatCode>0%</c:formatCode>
                <c:ptCount val="5"/>
                <c:pt idx="0">
                  <c:v>0.05</c:v>
                </c:pt>
                <c:pt idx="1">
                  <c:v>0.08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</c:numCache>
            </c:numRef>
          </c:xVal>
          <c:yVal>
            <c:numRef>
              <c:f>'4-CBA Sensitivity Analysis'!$D$49:$D$53</c:f>
              <c:numCache>
                <c:formatCode>_-* #,##0_-;\-* #,##0_-;_-* "-"??_-;_-@_-</c:formatCode>
                <c:ptCount val="5"/>
                <c:pt idx="0">
                  <c:v>643.13493443424818</c:v>
                </c:pt>
                <c:pt idx="1">
                  <c:v>323.58060213875137</c:v>
                </c:pt>
                <c:pt idx="2">
                  <c:v>212.45195292715789</c:v>
                </c:pt>
                <c:pt idx="3">
                  <c:v>77.657515534880048</c:v>
                </c:pt>
                <c:pt idx="4">
                  <c:v>24.276522583457069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37-44E0-B3C8-086D6FBF00DB}"/>
            </c:ext>
          </c:extLst>
        </c:ser>
        <c:ser>
          <c:idx val="2"/>
          <c:order val="2"/>
          <c:tx>
            <c:strRef>
              <c:f>'4-CBA Sensitivity Analysis'!$E$48</c:f>
              <c:strCache>
                <c:ptCount val="1"/>
                <c:pt idx="0">
                  <c:v>-15%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'4-CBA Sensitivity Analysis'!$B$49:$B$53</c:f>
              <c:numCache>
                <c:formatCode>0%</c:formatCode>
                <c:ptCount val="5"/>
                <c:pt idx="0">
                  <c:v>0.05</c:v>
                </c:pt>
                <c:pt idx="1">
                  <c:v>0.08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</c:numCache>
            </c:numRef>
          </c:xVal>
          <c:yVal>
            <c:numRef>
              <c:f>'4-CBA Sensitivity Analysis'!$E$49:$E$53</c:f>
              <c:numCache>
                <c:formatCode>_-* #,##0_-;\-* #,##0_-;_-* "-"??_-;_-@_-</c:formatCode>
                <c:ptCount val="5"/>
                <c:pt idx="0">
                  <c:v>808.2069825391668</c:v>
                </c:pt>
                <c:pt idx="1">
                  <c:v>413.52851118437195</c:v>
                </c:pt>
                <c:pt idx="2">
                  <c:v>276.02884920941119</c:v>
                </c:pt>
                <c:pt idx="3">
                  <c:v>108.63448037956657</c:v>
                </c:pt>
                <c:pt idx="4">
                  <c:v>41.723472397770692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37-44E0-B3C8-086D6FBF00DB}"/>
            </c:ext>
          </c:extLst>
        </c:ser>
        <c:ser>
          <c:idx val="3"/>
          <c:order val="3"/>
          <c:tx>
            <c:strRef>
              <c:f>'4-CBA Sensitivity Analysis'!$F$48</c:f>
              <c:strCache>
                <c:ptCount val="1"/>
                <c:pt idx="0">
                  <c:v>15%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'4-CBA Sensitivity Analysis'!$B$49:$B$53</c:f>
              <c:numCache>
                <c:formatCode>0%</c:formatCode>
                <c:ptCount val="5"/>
                <c:pt idx="0">
                  <c:v>0.05</c:v>
                </c:pt>
                <c:pt idx="1">
                  <c:v>0.08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</c:numCache>
            </c:numRef>
          </c:xVal>
          <c:yVal>
            <c:numRef>
              <c:f>'4-CBA Sensitivity Analysis'!$F$49:$F$53</c:f>
              <c:numCache>
                <c:formatCode>_-* #,##0_-;\-* #,##0_-;_-* "-"??_-;_-@_-</c:formatCode>
                <c:ptCount val="5"/>
                <c:pt idx="0">
                  <c:v>1138.3510787490043</c:v>
                </c:pt>
                <c:pt idx="1">
                  <c:v>593.42432927561333</c:v>
                </c:pt>
                <c:pt idx="2">
                  <c:v>403.18264177391774</c:v>
                </c:pt>
                <c:pt idx="3">
                  <c:v>170.5884100689394</c:v>
                </c:pt>
                <c:pt idx="4">
                  <c:v>76.617372026397987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537-44E0-B3C8-086D6FBF00DB}"/>
            </c:ext>
          </c:extLst>
        </c:ser>
        <c:ser>
          <c:idx val="4"/>
          <c:order val="4"/>
          <c:tx>
            <c:strRef>
              <c:f>'4-CBA Sensitivity Analysis'!$G$48</c:f>
              <c:strCache>
                <c:ptCount val="1"/>
                <c:pt idx="0">
                  <c:v>30%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'4-CBA Sensitivity Analysis'!$B$49:$B$53</c:f>
              <c:numCache>
                <c:formatCode>0%</c:formatCode>
                <c:ptCount val="5"/>
                <c:pt idx="0">
                  <c:v>0.05</c:v>
                </c:pt>
                <c:pt idx="1">
                  <c:v>0.08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</c:numCache>
            </c:numRef>
          </c:xVal>
          <c:yVal>
            <c:numRef>
              <c:f>'4-CBA Sensitivity Analysis'!$G$49:$G$53</c:f>
              <c:numCache>
                <c:formatCode>_-* #,##0_-;\-* #,##0_-;_-* "-"??_-;_-@_-</c:formatCode>
                <c:ptCount val="5"/>
                <c:pt idx="0">
                  <c:v>1303.423126853924</c:v>
                </c:pt>
                <c:pt idx="1">
                  <c:v>683.37223832123436</c:v>
                </c:pt>
                <c:pt idx="2">
                  <c:v>466.75953805617132</c:v>
                </c:pt>
                <c:pt idx="3">
                  <c:v>201.56537491362602</c:v>
                </c:pt>
                <c:pt idx="4">
                  <c:v>94.064321840711671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537-44E0-B3C8-086D6FBF0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706920"/>
        <c:axId val="612707248"/>
      </c:scatterChart>
      <c:valAx>
        <c:axId val="612706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707248"/>
        <c:crosses val="autoZero"/>
        <c:crossBetween val="midCat"/>
      </c:valAx>
      <c:valAx>
        <c:axId val="612707248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706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1381126</xdr:colOff>
      <xdr:row>14</xdr:row>
      <xdr:rowOff>15687</xdr:rowOff>
    </xdr:from>
    <xdr:to>
      <xdr:col>4</xdr:col>
      <xdr:colOff>485776</xdr:colOff>
      <xdr:row>23</xdr:row>
      <xdr:rowOff>143589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80DCB6A-CFD0-479B-B31D-7BF1786E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6" y="2892237"/>
          <a:ext cx="3790950" cy="1842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324971</xdr:colOff>
      <xdr:row>37</xdr:row>
      <xdr:rowOff>190500</xdr:rowOff>
    </xdr:from>
    <xdr:to>
      <xdr:col>10</xdr:col>
      <xdr:colOff>705971</xdr:colOff>
      <xdr:row>54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37BE9CC-EEE8-475B-8FEA-6D1F5D42C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828675</xdr:colOff>
      <xdr:row>39</xdr:row>
      <xdr:rowOff>266700</xdr:rowOff>
    </xdr:from>
    <xdr:to>
      <xdr:col>15</xdr:col>
      <xdr:colOff>771525</xdr:colOff>
      <xdr:row>56</xdr:row>
      <xdr:rowOff>161925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D6517396-FE43-4D3D-B1E0-2B73B4474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Couleurs IREEDD">
      <a:dk1>
        <a:sysClr val="windowText" lastClr="000000"/>
      </a:dk1>
      <a:lt1>
        <a:sysClr val="window" lastClr="FFFFFF"/>
      </a:lt1>
      <a:dk2>
        <a:srgbClr val="51636C"/>
      </a:dk2>
      <a:lt2>
        <a:srgbClr val="E7E6E6"/>
      </a:lt2>
      <a:accent1>
        <a:srgbClr val="8EB116"/>
      </a:accent1>
      <a:accent2>
        <a:srgbClr val="00A4C0"/>
      </a:accent2>
      <a:accent3>
        <a:srgbClr val="A5A5A5"/>
      </a:accent3>
      <a:accent4>
        <a:srgbClr val="FFC000"/>
      </a:accent4>
      <a:accent5>
        <a:srgbClr val="00A4C0"/>
      </a:accent5>
      <a:accent6>
        <a:srgbClr val="8EB11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0442-CAD2-4450-A8CB-32AF4CE90E9F}">
  <dimension ref="C2:E29"/>
  <sheetViews>
    <sheetView topLeftCell="A19" workbookViewId="0">
      <selection activeCell="D9" sqref="D9"/>
    </sheetView>
  </sheetViews>
  <sheetFormatPr defaultColWidth="10.90625" defaultRowHeight="14.5"/>
  <cols>
    <col min="3" max="3" width="46.54296875" customWidth="1"/>
    <col min="4" max="4" width="23.7265625" customWidth="1"/>
    <col min="5" max="5" width="28.26953125" customWidth="1"/>
  </cols>
  <sheetData>
    <row r="2" spans="3:5" ht="15" thickBot="1"/>
    <row r="3" spans="3:5">
      <c r="C3" s="15"/>
      <c r="D3" s="16"/>
      <c r="E3" s="17"/>
    </row>
    <row r="4" spans="3:5">
      <c r="C4" s="18"/>
      <c r="D4" s="19"/>
      <c r="E4" s="20"/>
    </row>
    <row r="5" spans="3:5">
      <c r="C5" s="278" t="s">
        <v>75</v>
      </c>
      <c r="D5" s="279"/>
      <c r="E5" s="280"/>
    </row>
    <row r="6" spans="3:5">
      <c r="C6" s="281"/>
      <c r="D6" s="282"/>
      <c r="E6" s="280"/>
    </row>
    <row r="7" spans="3:5">
      <c r="C7" s="281"/>
      <c r="D7" s="282"/>
      <c r="E7" s="280"/>
    </row>
    <row r="8" spans="3:5">
      <c r="C8" s="21"/>
      <c r="D8" s="22"/>
      <c r="E8" s="23"/>
    </row>
    <row r="9" spans="3:5" ht="20">
      <c r="C9" s="24" t="s">
        <v>32</v>
      </c>
      <c r="D9" s="27">
        <v>43844</v>
      </c>
      <c r="E9" s="20" t="s">
        <v>74</v>
      </c>
    </row>
    <row r="10" spans="3:5">
      <c r="C10" s="21"/>
      <c r="D10" s="22"/>
      <c r="E10" s="20"/>
    </row>
    <row r="11" spans="3:5" ht="20">
      <c r="C11" s="24" t="s">
        <v>33</v>
      </c>
      <c r="D11" s="28" t="s">
        <v>72</v>
      </c>
      <c r="E11" s="20"/>
    </row>
    <row r="12" spans="3:5">
      <c r="C12" s="21"/>
      <c r="D12" s="22"/>
      <c r="E12" s="23"/>
    </row>
    <row r="13" spans="3:5" ht="20">
      <c r="C13" s="283" t="s">
        <v>73</v>
      </c>
      <c r="D13" s="284"/>
      <c r="E13" s="285"/>
    </row>
    <row r="14" spans="3:5">
      <c r="C14" s="21"/>
      <c r="D14" s="22"/>
      <c r="E14" s="23"/>
    </row>
    <row r="15" spans="3:5">
      <c r="C15" s="18"/>
      <c r="D15" s="19"/>
      <c r="E15" s="20"/>
    </row>
    <row r="16" spans="3:5">
      <c r="C16" s="21"/>
      <c r="D16" s="22"/>
      <c r="E16" s="23"/>
    </row>
    <row r="17" spans="3:5">
      <c r="C17" s="21"/>
      <c r="D17" s="22"/>
      <c r="E17" s="23"/>
    </row>
    <row r="18" spans="3:5">
      <c r="C18" s="21"/>
      <c r="D18" s="22"/>
      <c r="E18" s="23"/>
    </row>
    <row r="19" spans="3:5">
      <c r="C19" s="21"/>
      <c r="D19" s="22"/>
      <c r="E19" s="23"/>
    </row>
    <row r="20" spans="3:5">
      <c r="C20" s="21"/>
      <c r="D20" s="22"/>
      <c r="E20" s="23"/>
    </row>
    <row r="21" spans="3:5">
      <c r="C21" s="21"/>
      <c r="D21" s="22"/>
      <c r="E21" s="23"/>
    </row>
    <row r="22" spans="3:5">
      <c r="C22" s="21"/>
      <c r="D22" s="22"/>
      <c r="E22" s="23"/>
    </row>
    <row r="23" spans="3:5">
      <c r="C23" s="21"/>
      <c r="D23" s="22"/>
      <c r="E23" s="23"/>
    </row>
    <row r="24" spans="3:5">
      <c r="C24" s="21"/>
      <c r="D24" s="22"/>
      <c r="E24" s="23"/>
    </row>
    <row r="25" spans="3:5">
      <c r="C25" s="18"/>
      <c r="D25" s="19"/>
      <c r="E25" s="20"/>
    </row>
    <row r="26" spans="3:5">
      <c r="C26" s="25" t="s">
        <v>35</v>
      </c>
      <c r="D26" s="26" t="s">
        <v>36</v>
      </c>
      <c r="E26" s="20"/>
    </row>
    <row r="27" spans="3:5">
      <c r="C27" s="286"/>
      <c r="D27" s="287"/>
      <c r="E27" s="288"/>
    </row>
    <row r="28" spans="3:5" ht="50.25" customHeight="1">
      <c r="C28" s="272" t="s">
        <v>37</v>
      </c>
      <c r="D28" s="273"/>
      <c r="E28" s="274"/>
    </row>
    <row r="29" spans="3:5" ht="36" customHeight="1" thickBot="1">
      <c r="C29" s="275" t="s">
        <v>38</v>
      </c>
      <c r="D29" s="276"/>
      <c r="E29" s="277"/>
    </row>
  </sheetData>
  <mergeCells count="5">
    <mergeCell ref="C28:E28"/>
    <mergeCell ref="C29:E29"/>
    <mergeCell ref="C5:E7"/>
    <mergeCell ref="C13:E13"/>
    <mergeCell ref="C27:E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88B5-F116-4E91-AF6E-5D100DB91873}">
  <dimension ref="A2:B10"/>
  <sheetViews>
    <sheetView workbookViewId="0">
      <selection activeCell="B10" sqref="B10"/>
    </sheetView>
  </sheetViews>
  <sheetFormatPr defaultColWidth="10.90625" defaultRowHeight="14.5"/>
  <cols>
    <col min="2" max="2" width="93.7265625" customWidth="1"/>
  </cols>
  <sheetData>
    <row r="2" spans="1:2">
      <c r="B2" s="12" t="s">
        <v>34</v>
      </c>
    </row>
    <row r="4" spans="1:2">
      <c r="B4" s="10" t="s">
        <v>43</v>
      </c>
    </row>
    <row r="6" spans="1:2" ht="15.5">
      <c r="A6">
        <v>1</v>
      </c>
      <c r="B6" s="29" t="s">
        <v>39</v>
      </c>
    </row>
    <row r="7" spans="1:2" ht="15.5">
      <c r="A7">
        <v>2</v>
      </c>
      <c r="B7" s="30" t="s">
        <v>40</v>
      </c>
    </row>
    <row r="8" spans="1:2" ht="15.5">
      <c r="A8">
        <v>3</v>
      </c>
      <c r="B8" s="29" t="s">
        <v>41</v>
      </c>
    </row>
    <row r="9" spans="1:2" ht="15.5">
      <c r="A9">
        <v>4</v>
      </c>
      <c r="B9" s="30" t="s">
        <v>42</v>
      </c>
    </row>
    <row r="10" spans="1:2">
      <c r="A10">
        <v>5</v>
      </c>
    </row>
  </sheetData>
  <hyperlinks>
    <hyperlink ref="B6" location="ACB!A1" display="Analyse coûts-bénéfices du programme Hydromet " xr:uid="{B268C426-7EE6-4932-89BC-E4ABEF403938}"/>
    <hyperlink ref="B7" location="'Bénéfices EWS'!A1" display="Evaluation des bénéfices associés aux coûts évités du Servcie d'Alerte Précoce - SAP " xr:uid="{673F44A0-8209-4085-AA20-B790A4B1B848}"/>
    <hyperlink ref="B8" location="'Benefices Agric'!A1" display="Evaluation des bénéfices dans les secteurs agricoles par accroissment de la productivité" xr:uid="{EF9E4B39-D4C7-4A83-8F58-B3CA5485F62C}"/>
    <hyperlink ref="B9" location="'ACB-sensibilite'!A1" display="Analyse de la sensibilité des résultats aux variations des bénéfices" xr:uid="{D432C7AD-FBB1-45D6-B7C7-D25CB64056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AF231-4FD5-48A2-B534-519D8E8F7E1D}">
  <dimension ref="A3:BA43"/>
  <sheetViews>
    <sheetView tabSelected="1" topLeftCell="A4" zoomScale="85" zoomScaleNormal="85" workbookViewId="0">
      <pane ySplit="3" topLeftCell="A7" activePane="bottomLeft" state="frozen"/>
      <selection activeCell="A4" sqref="A4"/>
      <selection pane="bottomLeft" activeCell="C39" sqref="C39:C43"/>
    </sheetView>
  </sheetViews>
  <sheetFormatPr defaultColWidth="11.453125" defaultRowHeight="14.5"/>
  <cols>
    <col min="1" max="1" width="11.54296875" style="32" customWidth="1"/>
    <col min="2" max="2" width="51" style="7" bestFit="1" customWidth="1"/>
    <col min="3" max="3" width="17.54296875" style="7" customWidth="1"/>
    <col min="4" max="6" width="14.7265625" style="7" bestFit="1" customWidth="1"/>
    <col min="7" max="8" width="13.7265625" style="7" bestFit="1" customWidth="1"/>
    <col min="9" max="53" width="14.7265625" style="7" bestFit="1" customWidth="1"/>
    <col min="54" max="16384" width="11.453125" style="7"/>
  </cols>
  <sheetData>
    <row r="3" spans="1:53">
      <c r="D3" s="7">
        <v>1</v>
      </c>
      <c r="E3" s="7">
        <v>2</v>
      </c>
      <c r="F3" s="7">
        <v>3</v>
      </c>
      <c r="G3" s="7">
        <v>4</v>
      </c>
      <c r="H3" s="7">
        <v>5</v>
      </c>
      <c r="I3" s="7">
        <f>H3+1</f>
        <v>6</v>
      </c>
      <c r="J3" s="7">
        <f t="shared" ref="J3:BA3" si="0">I3+1</f>
        <v>7</v>
      </c>
      <c r="K3" s="7">
        <f t="shared" si="0"/>
        <v>8</v>
      </c>
      <c r="L3" s="7">
        <f t="shared" si="0"/>
        <v>9</v>
      </c>
      <c r="M3" s="7">
        <f t="shared" si="0"/>
        <v>10</v>
      </c>
      <c r="N3" s="7">
        <f t="shared" si="0"/>
        <v>11</v>
      </c>
      <c r="O3" s="7">
        <f t="shared" si="0"/>
        <v>12</v>
      </c>
      <c r="P3" s="7">
        <f t="shared" si="0"/>
        <v>13</v>
      </c>
      <c r="Q3" s="7">
        <f t="shared" si="0"/>
        <v>14</v>
      </c>
      <c r="R3" s="7">
        <f t="shared" si="0"/>
        <v>15</v>
      </c>
      <c r="S3" s="7">
        <f t="shared" si="0"/>
        <v>16</v>
      </c>
      <c r="T3" s="7">
        <f t="shared" si="0"/>
        <v>17</v>
      </c>
      <c r="U3" s="7">
        <f t="shared" si="0"/>
        <v>18</v>
      </c>
      <c r="V3" s="7">
        <f t="shared" si="0"/>
        <v>19</v>
      </c>
      <c r="W3" s="7">
        <f t="shared" si="0"/>
        <v>20</v>
      </c>
      <c r="X3" s="7">
        <f t="shared" si="0"/>
        <v>21</v>
      </c>
      <c r="Y3" s="7">
        <f t="shared" si="0"/>
        <v>22</v>
      </c>
      <c r="Z3" s="7">
        <f t="shared" si="0"/>
        <v>23</v>
      </c>
      <c r="AA3" s="7">
        <f t="shared" si="0"/>
        <v>24</v>
      </c>
      <c r="AB3" s="7">
        <f t="shared" si="0"/>
        <v>25</v>
      </c>
      <c r="AC3" s="7">
        <f t="shared" si="0"/>
        <v>26</v>
      </c>
      <c r="AD3" s="7">
        <f t="shared" si="0"/>
        <v>27</v>
      </c>
      <c r="AE3" s="7">
        <f t="shared" si="0"/>
        <v>28</v>
      </c>
      <c r="AF3" s="7">
        <f t="shared" si="0"/>
        <v>29</v>
      </c>
      <c r="AG3" s="7">
        <f t="shared" si="0"/>
        <v>30</v>
      </c>
      <c r="AH3" s="7">
        <f t="shared" si="0"/>
        <v>31</v>
      </c>
      <c r="AI3" s="7">
        <f t="shared" si="0"/>
        <v>32</v>
      </c>
      <c r="AJ3" s="7">
        <f t="shared" si="0"/>
        <v>33</v>
      </c>
      <c r="AK3" s="7">
        <f t="shared" si="0"/>
        <v>34</v>
      </c>
      <c r="AL3" s="7">
        <f t="shared" si="0"/>
        <v>35</v>
      </c>
      <c r="AM3" s="7">
        <f t="shared" si="0"/>
        <v>36</v>
      </c>
      <c r="AN3" s="7">
        <f t="shared" si="0"/>
        <v>37</v>
      </c>
      <c r="AO3" s="7">
        <f t="shared" si="0"/>
        <v>38</v>
      </c>
      <c r="AP3" s="7">
        <f t="shared" si="0"/>
        <v>39</v>
      </c>
      <c r="AQ3" s="7">
        <f t="shared" si="0"/>
        <v>40</v>
      </c>
      <c r="AR3" s="7">
        <f t="shared" si="0"/>
        <v>41</v>
      </c>
      <c r="AS3" s="7">
        <f t="shared" si="0"/>
        <v>42</v>
      </c>
      <c r="AT3" s="7">
        <f t="shared" si="0"/>
        <v>43</v>
      </c>
      <c r="AU3" s="7">
        <f t="shared" si="0"/>
        <v>44</v>
      </c>
      <c r="AV3" s="7">
        <f t="shared" si="0"/>
        <v>45</v>
      </c>
      <c r="AW3" s="7">
        <f t="shared" si="0"/>
        <v>46</v>
      </c>
      <c r="AX3" s="7">
        <f t="shared" si="0"/>
        <v>47</v>
      </c>
      <c r="AY3" s="7">
        <f t="shared" si="0"/>
        <v>48</v>
      </c>
      <c r="AZ3" s="7">
        <f t="shared" si="0"/>
        <v>49</v>
      </c>
      <c r="BA3" s="7">
        <f t="shared" si="0"/>
        <v>50</v>
      </c>
    </row>
    <row r="4" spans="1:53" ht="15" thickBot="1">
      <c r="B4" s="7" t="s">
        <v>95</v>
      </c>
      <c r="C4" s="177">
        <v>0.01</v>
      </c>
      <c r="D4" s="188" t="s">
        <v>91</v>
      </c>
    </row>
    <row r="5" spans="1:53" ht="15" thickBot="1">
      <c r="B5" s="33"/>
      <c r="C5" s="34"/>
      <c r="D5" s="289" t="s">
        <v>79</v>
      </c>
      <c r="E5" s="290"/>
      <c r="F5" s="290"/>
      <c r="G5" s="290"/>
      <c r="H5" s="291"/>
    </row>
    <row r="6" spans="1:53" ht="15" thickBot="1">
      <c r="B6" s="35" t="s">
        <v>44</v>
      </c>
      <c r="C6" s="36" t="s">
        <v>22</v>
      </c>
      <c r="D6" s="37">
        <v>2021</v>
      </c>
      <c r="E6" s="38">
        <v>2022</v>
      </c>
      <c r="F6" s="39">
        <v>2023</v>
      </c>
      <c r="G6" s="39">
        <v>2024</v>
      </c>
      <c r="H6" s="40">
        <v>2025</v>
      </c>
      <c r="I6" s="41">
        <v>2026</v>
      </c>
      <c r="J6" s="42">
        <v>2027</v>
      </c>
      <c r="K6" s="42">
        <v>2028</v>
      </c>
      <c r="L6" s="42">
        <v>2029</v>
      </c>
      <c r="M6" s="42">
        <v>2030</v>
      </c>
      <c r="N6" s="42">
        <v>2031</v>
      </c>
      <c r="O6" s="42">
        <v>2032</v>
      </c>
      <c r="P6" s="42">
        <v>2033</v>
      </c>
      <c r="Q6" s="42">
        <v>2034</v>
      </c>
      <c r="R6" s="42">
        <v>2035</v>
      </c>
      <c r="S6" s="42">
        <v>2036</v>
      </c>
      <c r="T6" s="42">
        <v>2037</v>
      </c>
      <c r="U6" s="42">
        <v>2038</v>
      </c>
      <c r="V6" s="42">
        <v>2039</v>
      </c>
      <c r="W6" s="42">
        <v>2040</v>
      </c>
      <c r="X6" s="42">
        <v>2041</v>
      </c>
      <c r="Y6" s="42">
        <v>2042</v>
      </c>
      <c r="Z6" s="42">
        <v>2043</v>
      </c>
      <c r="AA6" s="42">
        <v>2044</v>
      </c>
      <c r="AB6" s="42">
        <v>2045</v>
      </c>
      <c r="AC6" s="42">
        <v>2046</v>
      </c>
      <c r="AD6" s="42">
        <v>2047</v>
      </c>
      <c r="AE6" s="42">
        <v>2048</v>
      </c>
      <c r="AF6" s="42">
        <v>2049</v>
      </c>
      <c r="AG6" s="42">
        <v>2050</v>
      </c>
      <c r="AH6" s="42">
        <v>2051</v>
      </c>
      <c r="AI6" s="42">
        <v>2052</v>
      </c>
      <c r="AJ6" s="42">
        <v>2053</v>
      </c>
      <c r="AK6" s="42">
        <v>2054</v>
      </c>
      <c r="AL6" s="42">
        <v>2055</v>
      </c>
      <c r="AM6" s="42">
        <v>2056</v>
      </c>
      <c r="AN6" s="42">
        <v>2057</v>
      </c>
      <c r="AO6" s="42">
        <v>2058</v>
      </c>
      <c r="AP6" s="42">
        <v>2059</v>
      </c>
      <c r="AQ6" s="42">
        <v>2060</v>
      </c>
      <c r="AR6" s="42">
        <v>2061</v>
      </c>
      <c r="AS6" s="42">
        <v>2062</v>
      </c>
      <c r="AT6" s="42">
        <v>2063</v>
      </c>
      <c r="AU6" s="42">
        <v>2064</v>
      </c>
      <c r="AV6" s="42">
        <v>2065</v>
      </c>
      <c r="AW6" s="42">
        <v>2066</v>
      </c>
      <c r="AX6" s="42">
        <v>2067</v>
      </c>
      <c r="AY6" s="42">
        <v>2068</v>
      </c>
      <c r="AZ6" s="42">
        <v>2069</v>
      </c>
      <c r="BA6" s="42">
        <v>2070</v>
      </c>
    </row>
    <row r="7" spans="1:53">
      <c r="A7" s="32" t="s">
        <v>87</v>
      </c>
      <c r="B7" s="43" t="s">
        <v>45</v>
      </c>
      <c r="C7" s="43"/>
      <c r="D7" s="44"/>
      <c r="E7" s="45"/>
      <c r="F7" s="46"/>
      <c r="G7" s="46"/>
      <c r="H7" s="47"/>
      <c r="I7" s="45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</row>
    <row r="8" spans="1:53">
      <c r="A8" s="48">
        <v>20</v>
      </c>
      <c r="B8" s="49" t="s">
        <v>76</v>
      </c>
      <c r="C8" s="50">
        <f>SUM(D8:H8)</f>
        <v>22153500</v>
      </c>
      <c r="D8" s="51">
        <v>2577500</v>
      </c>
      <c r="E8" s="52">
        <v>16805500</v>
      </c>
      <c r="F8" s="52">
        <v>2170500</v>
      </c>
      <c r="G8" s="52">
        <v>300000</v>
      </c>
      <c r="H8" s="53">
        <v>300000</v>
      </c>
    </row>
    <row r="9" spans="1:53">
      <c r="A9" s="48">
        <v>10</v>
      </c>
      <c r="B9" s="49" t="s">
        <v>77</v>
      </c>
      <c r="C9" s="50">
        <f t="shared" ref="C9:C13" si="1">SUM(D9:H9)</f>
        <v>12520000</v>
      </c>
      <c r="D9" s="51">
        <v>2940000</v>
      </c>
      <c r="E9" s="52">
        <v>8615000</v>
      </c>
      <c r="F9" s="52">
        <v>965000</v>
      </c>
      <c r="G9" s="52">
        <v>0</v>
      </c>
      <c r="H9" s="53">
        <v>0</v>
      </c>
    </row>
    <row r="10" spans="1:53">
      <c r="A10" s="48"/>
      <c r="B10" s="49" t="s">
        <v>47</v>
      </c>
      <c r="C10" s="50">
        <f t="shared" si="1"/>
        <v>11636000</v>
      </c>
      <c r="D10" s="51">
        <v>3484000</v>
      </c>
      <c r="E10" s="52">
        <v>4270000</v>
      </c>
      <c r="F10" s="52">
        <v>1736000</v>
      </c>
      <c r="G10" s="52">
        <v>1123000</v>
      </c>
      <c r="H10" s="53">
        <v>1023000</v>
      </c>
    </row>
    <row r="11" spans="1:53">
      <c r="A11" s="48"/>
      <c r="B11" s="49" t="s">
        <v>46</v>
      </c>
      <c r="C11" s="50">
        <f t="shared" si="1"/>
        <v>5837000</v>
      </c>
      <c r="D11" s="51">
        <v>1085000</v>
      </c>
      <c r="E11" s="52">
        <v>1135000</v>
      </c>
      <c r="F11" s="52">
        <v>2213000</v>
      </c>
      <c r="G11" s="52">
        <v>702000</v>
      </c>
      <c r="H11" s="53">
        <v>702000</v>
      </c>
    </row>
    <row r="12" spans="1:53">
      <c r="A12" s="48"/>
      <c r="B12" s="54" t="s">
        <v>78</v>
      </c>
      <c r="C12" s="50">
        <f t="shared" si="1"/>
        <v>7930000</v>
      </c>
      <c r="D12" s="51">
        <v>1690000</v>
      </c>
      <c r="E12" s="52">
        <v>3165000</v>
      </c>
      <c r="F12" s="52">
        <v>1575000</v>
      </c>
      <c r="G12" s="52">
        <v>1200000</v>
      </c>
      <c r="H12" s="53">
        <v>300000</v>
      </c>
    </row>
    <row r="13" spans="1:53">
      <c r="A13" s="48"/>
      <c r="B13" s="49" t="s">
        <v>83</v>
      </c>
      <c r="C13" s="50">
        <f t="shared" si="1"/>
        <v>9990000</v>
      </c>
      <c r="D13" s="51">
        <v>2000000</v>
      </c>
      <c r="E13" s="52">
        <v>3350000</v>
      </c>
      <c r="F13" s="52">
        <v>3380000</v>
      </c>
      <c r="G13" s="52">
        <v>1180000</v>
      </c>
      <c r="H13" s="53">
        <v>80000</v>
      </c>
    </row>
    <row r="14" spans="1:53">
      <c r="A14" s="48"/>
      <c r="B14" s="261" t="s">
        <v>190</v>
      </c>
      <c r="C14" s="50"/>
      <c r="D14" s="51"/>
      <c r="E14" s="52"/>
      <c r="F14" s="52"/>
      <c r="G14" s="52"/>
      <c r="H14" s="53"/>
      <c r="I14" s="7">
        <f>'6-Investments'!T137</f>
        <v>0</v>
      </c>
      <c r="J14" s="7">
        <f>'6-Investments'!U137</f>
        <v>180773.72861719999</v>
      </c>
      <c r="K14" s="7">
        <f>'6-Investments'!V137</f>
        <v>372057.55773539993</v>
      </c>
      <c r="L14" s="7">
        <f>'6-Investments'!W137</f>
        <v>0</v>
      </c>
      <c r="M14" s="7">
        <f>'6-Investments'!X137</f>
        <v>0</v>
      </c>
      <c r="N14" s="7">
        <f>'6-Investments'!Y137</f>
        <v>0</v>
      </c>
      <c r="O14" s="7">
        <f>'6-Investments'!Z137</f>
        <v>189995.00557072714</v>
      </c>
      <c r="P14" s="7">
        <f>'6-Investments'!AA137</f>
        <v>5462908.7212211136</v>
      </c>
      <c r="Q14" s="7">
        <f>'6-Investments'!AB137</f>
        <v>12820796.698585151</v>
      </c>
      <c r="R14" s="7">
        <f>'6-Investments'!AC137</f>
        <v>2882511.4362605382</v>
      </c>
      <c r="S14" s="7">
        <f>'6-Investments'!AD137</f>
        <v>331386.63762336143</v>
      </c>
      <c r="T14" s="7">
        <f>'6-Investments'!AE137</f>
        <v>531073.29794700106</v>
      </c>
      <c r="U14" s="7">
        <f>'6-Investments'!AF137</f>
        <v>1114530.1971551985</v>
      </c>
      <c r="V14" s="7">
        <f>'6-Investments'!AG137</f>
        <v>756951.75890123891</v>
      </c>
      <c r="W14" s="7">
        <f>'6-Investments'!AH137</f>
        <v>0</v>
      </c>
      <c r="X14" s="7">
        <f>'6-Investments'!AI137</f>
        <v>199686.66032363969</v>
      </c>
      <c r="Y14" s="7">
        <f>'6-Investments'!AJ137</f>
        <v>209872.68687105022</v>
      </c>
      <c r="Z14" s="7">
        <f>'6-Investments'!AK137</f>
        <v>12567957.411464062</v>
      </c>
      <c r="AA14" s="7">
        <f>'6-Investments'!AL137</f>
        <v>209872.68687105022</v>
      </c>
      <c r="AB14" s="7">
        <f>'6-Investments'!AM137</f>
        <v>5976665.8852942903</v>
      </c>
      <c r="AC14" s="7">
        <f>'6-Investments'!AN137</f>
        <v>14104351.741387701</v>
      </c>
      <c r="AD14" s="7">
        <f>'6-Investments'!AO137</f>
        <v>2972716.9382456038</v>
      </c>
      <c r="AE14" s="7">
        <f>'6-Investments'!AP137</f>
        <v>575929.69885544037</v>
      </c>
      <c r="AF14" s="7">
        <f>'6-Investments'!AQ137</f>
        <v>586635.31512735435</v>
      </c>
      <c r="AG14" s="7">
        <f>'6-Investments'!AR137</f>
        <v>0</v>
      </c>
      <c r="AH14" s="7">
        <f>'6-Investments'!AS137</f>
        <v>220578.30314296408</v>
      </c>
      <c r="AI14" s="7">
        <f>'6-Investments'!AT137</f>
        <v>231830.01343725965</v>
      </c>
      <c r="AJ14" s="7">
        <f>'6-Investments'!AU137</f>
        <v>220578.30314296408</v>
      </c>
      <c r="AK14" s="7">
        <f>'6-Investments'!AV137</f>
        <v>1357505.51256401</v>
      </c>
      <c r="AL14" s="7">
        <f>'6-Investments'!AW137</f>
        <v>783416.0527063394</v>
      </c>
      <c r="AM14" s="7">
        <f>'6-Investments'!AX137</f>
        <v>798471.115849767</v>
      </c>
      <c r="AN14" s="7">
        <f>'6-Investments'!AY137</f>
        <v>9506289.7786794212</v>
      </c>
      <c r="AO14" s="7">
        <f>'6-Investments'!AZ137</f>
        <v>15522195.040850529</v>
      </c>
      <c r="AP14" s="7">
        <f>'6-Investments'!BA137</f>
        <v>3283728.9025707487</v>
      </c>
      <c r="AQ14" s="7">
        <f>'6-Investments'!BB137</f>
        <v>636184.68803713168</v>
      </c>
      <c r="AR14" s="7">
        <f>'6-Investments'!BC137</f>
        <v>648010.34863725002</v>
      </c>
      <c r="AS14" s="7">
        <f>'6-Investments'!BD137</f>
        <v>256084.56217717382</v>
      </c>
      <c r="AT14" s="7">
        <f>'6-Investments'!BE137</f>
        <v>12811613.08550144</v>
      </c>
      <c r="AU14" s="7">
        <f>'6-Investments'!BF137</f>
        <v>256084.56217717382</v>
      </c>
      <c r="AV14" s="7">
        <f>'6-Investments'!BG137</f>
        <v>243655.6740373779</v>
      </c>
      <c r="AW14" s="7">
        <f>'6-Investments'!BH137</f>
        <v>256084.56217717382</v>
      </c>
      <c r="AX14" s="7">
        <f>'6-Investments'!BI137</f>
        <v>269147.44852366799</v>
      </c>
      <c r="AY14" s="7">
        <f>'6-Investments'!BJ137</f>
        <v>256084.56217717382</v>
      </c>
      <c r="AZ14" s="7">
        <f>'6-Investments'!BK137</f>
        <v>7440202.2388957106</v>
      </c>
      <c r="BA14" s="7">
        <f>'6-Investments'!BL137</f>
        <v>18395250.42810997</v>
      </c>
    </row>
    <row r="15" spans="1:53">
      <c r="B15" s="55" t="s">
        <v>48</v>
      </c>
      <c r="C15" s="56">
        <f>SUM(C8:C13)</f>
        <v>70066500</v>
      </c>
      <c r="D15" s="57">
        <f t="shared" ref="D15:H15" si="2">SUM(D8:D13)</f>
        <v>13776500</v>
      </c>
      <c r="E15" s="58">
        <f t="shared" si="2"/>
        <v>37340500</v>
      </c>
      <c r="F15" s="59">
        <f t="shared" si="2"/>
        <v>12039500</v>
      </c>
      <c r="G15" s="59">
        <f t="shared" si="2"/>
        <v>4505000</v>
      </c>
      <c r="H15" s="60">
        <f t="shared" si="2"/>
        <v>2405000</v>
      </c>
      <c r="I15" s="58">
        <f>SUM(I8:I14)</f>
        <v>0</v>
      </c>
      <c r="J15" s="58">
        <f t="shared" ref="J15:BA15" si="3">SUM(J8:J14)</f>
        <v>180773.72861719999</v>
      </c>
      <c r="K15" s="58">
        <f t="shared" si="3"/>
        <v>372057.55773539993</v>
      </c>
      <c r="L15" s="58">
        <f t="shared" si="3"/>
        <v>0</v>
      </c>
      <c r="M15" s="58">
        <f t="shared" si="3"/>
        <v>0</v>
      </c>
      <c r="N15" s="58">
        <f t="shared" si="3"/>
        <v>0</v>
      </c>
      <c r="O15" s="58">
        <f t="shared" si="3"/>
        <v>189995.00557072714</v>
      </c>
      <c r="P15" s="58">
        <f t="shared" si="3"/>
        <v>5462908.7212211136</v>
      </c>
      <c r="Q15" s="58">
        <f t="shared" si="3"/>
        <v>12820796.698585151</v>
      </c>
      <c r="R15" s="58">
        <f t="shared" si="3"/>
        <v>2882511.4362605382</v>
      </c>
      <c r="S15" s="58">
        <f t="shared" si="3"/>
        <v>331386.63762336143</v>
      </c>
      <c r="T15" s="58">
        <f t="shared" si="3"/>
        <v>531073.29794700106</v>
      </c>
      <c r="U15" s="58">
        <f t="shared" si="3"/>
        <v>1114530.1971551985</v>
      </c>
      <c r="V15" s="58">
        <f t="shared" si="3"/>
        <v>756951.75890123891</v>
      </c>
      <c r="W15" s="58">
        <f t="shared" si="3"/>
        <v>0</v>
      </c>
      <c r="X15" s="58">
        <f t="shared" si="3"/>
        <v>199686.66032363969</v>
      </c>
      <c r="Y15" s="58">
        <f t="shared" si="3"/>
        <v>209872.68687105022</v>
      </c>
      <c r="Z15" s="58">
        <f t="shared" si="3"/>
        <v>12567957.411464062</v>
      </c>
      <c r="AA15" s="58">
        <f t="shared" si="3"/>
        <v>209872.68687105022</v>
      </c>
      <c r="AB15" s="58">
        <f t="shared" si="3"/>
        <v>5976665.8852942903</v>
      </c>
      <c r="AC15" s="58">
        <f t="shared" si="3"/>
        <v>14104351.741387701</v>
      </c>
      <c r="AD15" s="58">
        <f t="shared" si="3"/>
        <v>2972716.9382456038</v>
      </c>
      <c r="AE15" s="58">
        <f t="shared" si="3"/>
        <v>575929.69885544037</v>
      </c>
      <c r="AF15" s="58">
        <f t="shared" si="3"/>
        <v>586635.31512735435</v>
      </c>
      <c r="AG15" s="58">
        <f t="shared" si="3"/>
        <v>0</v>
      </c>
      <c r="AH15" s="58">
        <f t="shared" si="3"/>
        <v>220578.30314296408</v>
      </c>
      <c r="AI15" s="58">
        <f t="shared" si="3"/>
        <v>231830.01343725965</v>
      </c>
      <c r="AJ15" s="58">
        <f t="shared" si="3"/>
        <v>220578.30314296408</v>
      </c>
      <c r="AK15" s="58">
        <f t="shared" si="3"/>
        <v>1357505.51256401</v>
      </c>
      <c r="AL15" s="58">
        <f t="shared" si="3"/>
        <v>783416.0527063394</v>
      </c>
      <c r="AM15" s="58">
        <f t="shared" si="3"/>
        <v>798471.115849767</v>
      </c>
      <c r="AN15" s="58">
        <f t="shared" si="3"/>
        <v>9506289.7786794212</v>
      </c>
      <c r="AO15" s="58">
        <f t="shared" si="3"/>
        <v>15522195.040850529</v>
      </c>
      <c r="AP15" s="58">
        <f t="shared" si="3"/>
        <v>3283728.9025707487</v>
      </c>
      <c r="AQ15" s="58">
        <f t="shared" si="3"/>
        <v>636184.68803713168</v>
      </c>
      <c r="AR15" s="58">
        <f t="shared" si="3"/>
        <v>648010.34863725002</v>
      </c>
      <c r="AS15" s="58">
        <f t="shared" si="3"/>
        <v>256084.56217717382</v>
      </c>
      <c r="AT15" s="58">
        <f t="shared" si="3"/>
        <v>12811613.08550144</v>
      </c>
      <c r="AU15" s="58">
        <f t="shared" si="3"/>
        <v>256084.56217717382</v>
      </c>
      <c r="AV15" s="58">
        <f t="shared" si="3"/>
        <v>243655.6740373779</v>
      </c>
      <c r="AW15" s="58">
        <f t="shared" si="3"/>
        <v>256084.56217717382</v>
      </c>
      <c r="AX15" s="58">
        <f t="shared" si="3"/>
        <v>269147.44852366799</v>
      </c>
      <c r="AY15" s="58">
        <f t="shared" si="3"/>
        <v>256084.56217717382</v>
      </c>
      <c r="AZ15" s="58">
        <f t="shared" si="3"/>
        <v>7440202.2388957106</v>
      </c>
      <c r="BA15" s="58">
        <f t="shared" si="3"/>
        <v>18395250.42810997</v>
      </c>
    </row>
    <row r="16" spans="1:53">
      <c r="B16" s="61"/>
      <c r="C16" s="61"/>
      <c r="D16" s="62"/>
      <c r="E16" s="63"/>
      <c r="F16" s="63"/>
      <c r="G16" s="63"/>
      <c r="H16" s="64"/>
    </row>
    <row r="17" spans="1:53">
      <c r="B17" s="65" t="s">
        <v>66</v>
      </c>
      <c r="C17" s="65"/>
      <c r="D17" s="44"/>
      <c r="E17" s="45"/>
      <c r="F17" s="46"/>
      <c r="G17" s="46"/>
      <c r="H17" s="47"/>
      <c r="I17" s="45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</row>
    <row r="18" spans="1:53" s="192" customFormat="1">
      <c r="A18" s="178" t="s">
        <v>92</v>
      </c>
      <c r="B18" s="54" t="s">
        <v>111</v>
      </c>
      <c r="C18" s="50">
        <f t="shared" ref="C18:C19" si="4">SUM(D18:H18)</f>
        <v>4573000</v>
      </c>
      <c r="D18" s="189">
        <v>0</v>
      </c>
      <c r="E18" s="190">
        <v>180000</v>
      </c>
      <c r="F18" s="132">
        <v>1356000</v>
      </c>
      <c r="G18" s="132">
        <v>1508000</v>
      </c>
      <c r="H18" s="191">
        <v>1529000</v>
      </c>
      <c r="I18" s="192">
        <f>H18</f>
        <v>1529000</v>
      </c>
      <c r="J18" s="192">
        <f>I18*(1+$C$4)</f>
        <v>1544290</v>
      </c>
      <c r="K18" s="192">
        <f t="shared" ref="K18:BA18" si="5">J18*(1+$C$4)</f>
        <v>1559732.9</v>
      </c>
      <c r="L18" s="192">
        <f t="shared" si="5"/>
        <v>1575330.2289999998</v>
      </c>
      <c r="M18" s="192">
        <f t="shared" si="5"/>
        <v>1591083.5312899998</v>
      </c>
      <c r="N18" s="192">
        <f t="shared" si="5"/>
        <v>1606994.3666028997</v>
      </c>
      <c r="O18" s="192">
        <f t="shared" si="5"/>
        <v>1623064.3102689288</v>
      </c>
      <c r="P18" s="192">
        <f t="shared" si="5"/>
        <v>1639294.9533716182</v>
      </c>
      <c r="Q18" s="192">
        <f t="shared" si="5"/>
        <v>1655687.9029053345</v>
      </c>
      <c r="R18" s="192">
        <f t="shared" si="5"/>
        <v>1672244.7819343877</v>
      </c>
      <c r="S18" s="192">
        <f t="shared" si="5"/>
        <v>1688967.2297537317</v>
      </c>
      <c r="T18" s="192">
        <f t="shared" si="5"/>
        <v>1705856.9020512691</v>
      </c>
      <c r="U18" s="192">
        <f t="shared" si="5"/>
        <v>1722915.4710717818</v>
      </c>
      <c r="V18" s="192">
        <f t="shared" si="5"/>
        <v>1740144.6257824996</v>
      </c>
      <c r="W18" s="192">
        <f t="shared" si="5"/>
        <v>1757546.0720403246</v>
      </c>
      <c r="X18" s="192">
        <f t="shared" si="5"/>
        <v>1775121.5327607279</v>
      </c>
      <c r="Y18" s="192">
        <f t="shared" si="5"/>
        <v>1792872.7480883352</v>
      </c>
      <c r="Z18" s="192">
        <f t="shared" si="5"/>
        <v>1810801.4755692186</v>
      </c>
      <c r="AA18" s="192">
        <f t="shared" si="5"/>
        <v>1828909.4903249107</v>
      </c>
      <c r="AB18" s="192">
        <f t="shared" si="5"/>
        <v>1847198.5852281598</v>
      </c>
      <c r="AC18" s="192">
        <f t="shared" si="5"/>
        <v>1865670.5710804414</v>
      </c>
      <c r="AD18" s="192">
        <f t="shared" si="5"/>
        <v>1884327.2767912457</v>
      </c>
      <c r="AE18" s="192">
        <f t="shared" si="5"/>
        <v>1903170.549559158</v>
      </c>
      <c r="AF18" s="192">
        <f t="shared" si="5"/>
        <v>1922202.2550547495</v>
      </c>
      <c r="AG18" s="192">
        <f t="shared" si="5"/>
        <v>1941424.277605297</v>
      </c>
      <c r="AH18" s="192">
        <f t="shared" si="5"/>
        <v>1960838.5203813501</v>
      </c>
      <c r="AI18" s="192">
        <f t="shared" si="5"/>
        <v>1980446.9055851635</v>
      </c>
      <c r="AJ18" s="192">
        <f t="shared" si="5"/>
        <v>2000251.3746410152</v>
      </c>
      <c r="AK18" s="192">
        <f t="shared" si="5"/>
        <v>2020253.8883874253</v>
      </c>
      <c r="AL18" s="192">
        <f t="shared" si="5"/>
        <v>2040456.4272712995</v>
      </c>
      <c r="AM18" s="192">
        <f t="shared" si="5"/>
        <v>2060860.9915440124</v>
      </c>
      <c r="AN18" s="192">
        <f t="shared" si="5"/>
        <v>2081469.6014594526</v>
      </c>
      <c r="AO18" s="192">
        <f t="shared" si="5"/>
        <v>2102284.2974740472</v>
      </c>
      <c r="AP18" s="192">
        <f t="shared" si="5"/>
        <v>2123307.1404487877</v>
      </c>
      <c r="AQ18" s="192">
        <f t="shared" si="5"/>
        <v>2144540.2118532755</v>
      </c>
      <c r="AR18" s="192">
        <f t="shared" si="5"/>
        <v>2165985.6139718085</v>
      </c>
      <c r="AS18" s="192">
        <f t="shared" si="5"/>
        <v>2187645.4701115265</v>
      </c>
      <c r="AT18" s="192">
        <f t="shared" si="5"/>
        <v>2209521.9248126419</v>
      </c>
      <c r="AU18" s="192">
        <f t="shared" si="5"/>
        <v>2231617.1440607682</v>
      </c>
      <c r="AV18" s="192">
        <f t="shared" si="5"/>
        <v>2253933.3155013761</v>
      </c>
      <c r="AW18" s="192">
        <f t="shared" si="5"/>
        <v>2276472.6486563897</v>
      </c>
      <c r="AX18" s="192">
        <f t="shared" si="5"/>
        <v>2299237.3751429538</v>
      </c>
      <c r="AY18" s="192">
        <f t="shared" si="5"/>
        <v>2322229.7488943832</v>
      </c>
      <c r="AZ18" s="192">
        <f t="shared" si="5"/>
        <v>2345452.0463833269</v>
      </c>
      <c r="BA18" s="192">
        <f t="shared" si="5"/>
        <v>2368906.56684716</v>
      </c>
    </row>
    <row r="19" spans="1:53">
      <c r="B19" s="54" t="s">
        <v>112</v>
      </c>
      <c r="C19" s="50">
        <f t="shared" si="4"/>
        <v>3421000</v>
      </c>
      <c r="D19" s="51">
        <v>0</v>
      </c>
      <c r="E19" s="52">
        <v>290000</v>
      </c>
      <c r="F19" s="52">
        <v>978000</v>
      </c>
      <c r="G19" s="52">
        <v>1073000</v>
      </c>
      <c r="H19" s="53">
        <v>1080000</v>
      </c>
      <c r="I19" s="7">
        <f>H19</f>
        <v>1080000</v>
      </c>
      <c r="J19" s="192">
        <f>I19*(1+$C$4)</f>
        <v>1090800</v>
      </c>
      <c r="K19" s="192">
        <f t="shared" ref="K19:BA19" si="6">J19*(1+$C$4)</f>
        <v>1101708</v>
      </c>
      <c r="L19" s="192">
        <f t="shared" si="6"/>
        <v>1112725.08</v>
      </c>
      <c r="M19" s="192">
        <f t="shared" si="6"/>
        <v>1123852.3308000001</v>
      </c>
      <c r="N19" s="192">
        <f t="shared" si="6"/>
        <v>1135090.8541080002</v>
      </c>
      <c r="O19" s="192">
        <f t="shared" si="6"/>
        <v>1146441.7626490803</v>
      </c>
      <c r="P19" s="192">
        <f t="shared" si="6"/>
        <v>1157906.1802755711</v>
      </c>
      <c r="Q19" s="192">
        <f t="shared" si="6"/>
        <v>1169485.2420783269</v>
      </c>
      <c r="R19" s="192">
        <f t="shared" si="6"/>
        <v>1181180.0944991102</v>
      </c>
      <c r="S19" s="192">
        <f t="shared" si="6"/>
        <v>1192991.8954441014</v>
      </c>
      <c r="T19" s="192">
        <f t="shared" si="6"/>
        <v>1204921.8143985425</v>
      </c>
      <c r="U19" s="192">
        <f t="shared" si="6"/>
        <v>1216971.0325425279</v>
      </c>
      <c r="V19" s="192">
        <f t="shared" si="6"/>
        <v>1229140.7428679531</v>
      </c>
      <c r="W19" s="192">
        <f t="shared" si="6"/>
        <v>1241432.1502966327</v>
      </c>
      <c r="X19" s="192">
        <f t="shared" si="6"/>
        <v>1253846.471799599</v>
      </c>
      <c r="Y19" s="192">
        <f t="shared" si="6"/>
        <v>1266384.9365175951</v>
      </c>
      <c r="Z19" s="192">
        <f t="shared" si="6"/>
        <v>1279048.785882771</v>
      </c>
      <c r="AA19" s="192">
        <f t="shared" si="6"/>
        <v>1291839.2737415987</v>
      </c>
      <c r="AB19" s="192">
        <f t="shared" si="6"/>
        <v>1304757.6664790148</v>
      </c>
      <c r="AC19" s="192">
        <f t="shared" si="6"/>
        <v>1317805.2431438048</v>
      </c>
      <c r="AD19" s="192">
        <f t="shared" si="6"/>
        <v>1330983.295575243</v>
      </c>
      <c r="AE19" s="192">
        <f t="shared" si="6"/>
        <v>1344293.1285309955</v>
      </c>
      <c r="AF19" s="192">
        <f t="shared" si="6"/>
        <v>1357736.0598163055</v>
      </c>
      <c r="AG19" s="192">
        <f t="shared" si="6"/>
        <v>1371313.4204144685</v>
      </c>
      <c r="AH19" s="192">
        <f t="shared" si="6"/>
        <v>1385026.5546186131</v>
      </c>
      <c r="AI19" s="192">
        <f t="shared" si="6"/>
        <v>1398876.8201647992</v>
      </c>
      <c r="AJ19" s="192">
        <f t="shared" si="6"/>
        <v>1412865.5883664472</v>
      </c>
      <c r="AK19" s="192">
        <f t="shared" si="6"/>
        <v>1426994.2442501117</v>
      </c>
      <c r="AL19" s="192">
        <f t="shared" si="6"/>
        <v>1441264.1866926129</v>
      </c>
      <c r="AM19" s="192">
        <f t="shared" si="6"/>
        <v>1455676.828559539</v>
      </c>
      <c r="AN19" s="192">
        <f t="shared" si="6"/>
        <v>1470233.5968451344</v>
      </c>
      <c r="AO19" s="192">
        <f t="shared" si="6"/>
        <v>1484935.9328135857</v>
      </c>
      <c r="AP19" s="192">
        <f t="shared" si="6"/>
        <v>1499785.2921417216</v>
      </c>
      <c r="AQ19" s="192">
        <f t="shared" si="6"/>
        <v>1514783.1450631388</v>
      </c>
      <c r="AR19" s="192">
        <f t="shared" si="6"/>
        <v>1529930.9765137702</v>
      </c>
      <c r="AS19" s="192">
        <f t="shared" si="6"/>
        <v>1545230.2862789079</v>
      </c>
      <c r="AT19" s="192">
        <f t="shared" si="6"/>
        <v>1560682.5891416969</v>
      </c>
      <c r="AU19" s="192">
        <f t="shared" si="6"/>
        <v>1576289.4150331139</v>
      </c>
      <c r="AV19" s="192">
        <f t="shared" si="6"/>
        <v>1592052.3091834451</v>
      </c>
      <c r="AW19" s="192">
        <f t="shared" si="6"/>
        <v>1607972.8322752796</v>
      </c>
      <c r="AX19" s="192">
        <f t="shared" si="6"/>
        <v>1624052.5605980323</v>
      </c>
      <c r="AY19" s="192">
        <f t="shared" si="6"/>
        <v>1640293.0862040126</v>
      </c>
      <c r="AZ19" s="192">
        <f t="shared" si="6"/>
        <v>1656696.0170660526</v>
      </c>
      <c r="BA19" s="192">
        <f t="shared" si="6"/>
        <v>1673262.9772367133</v>
      </c>
    </row>
    <row r="20" spans="1:53">
      <c r="B20" s="55" t="s">
        <v>48</v>
      </c>
      <c r="C20" s="56">
        <f>C18</f>
        <v>4573000</v>
      </c>
      <c r="D20" s="57">
        <f>D19+D18</f>
        <v>0</v>
      </c>
      <c r="E20" s="58">
        <f t="shared" ref="E20:H20" si="7">E19+E18</f>
        <v>470000</v>
      </c>
      <c r="F20" s="59">
        <f t="shared" si="7"/>
        <v>2334000</v>
      </c>
      <c r="G20" s="59">
        <f t="shared" si="7"/>
        <v>2581000</v>
      </c>
      <c r="H20" s="60">
        <f t="shared" si="7"/>
        <v>2609000</v>
      </c>
      <c r="I20" s="58">
        <f>SUM(I18:I19)</f>
        <v>2609000</v>
      </c>
      <c r="J20" s="59">
        <f t="shared" ref="J20:BA20" si="8">SUM(J18:J19)</f>
        <v>2635090</v>
      </c>
      <c r="K20" s="59">
        <f t="shared" si="8"/>
        <v>2661440.9</v>
      </c>
      <c r="L20" s="59">
        <f t="shared" si="8"/>
        <v>2688055.3089999999</v>
      </c>
      <c r="M20" s="59">
        <f t="shared" si="8"/>
        <v>2714935.86209</v>
      </c>
      <c r="N20" s="59">
        <f t="shared" si="8"/>
        <v>2742085.2207108997</v>
      </c>
      <c r="O20" s="59">
        <f t="shared" si="8"/>
        <v>2769506.072918009</v>
      </c>
      <c r="P20" s="59">
        <f t="shared" si="8"/>
        <v>2797201.1336471895</v>
      </c>
      <c r="Q20" s="59">
        <f t="shared" si="8"/>
        <v>2825173.1449836614</v>
      </c>
      <c r="R20" s="59">
        <f t="shared" si="8"/>
        <v>2853424.8764334982</v>
      </c>
      <c r="S20" s="59">
        <f t="shared" si="8"/>
        <v>2881959.1251978334</v>
      </c>
      <c r="T20" s="59">
        <f t="shared" si="8"/>
        <v>2910778.7164498116</v>
      </c>
      <c r="U20" s="59">
        <f t="shared" si="8"/>
        <v>2939886.5036143097</v>
      </c>
      <c r="V20" s="59">
        <f t="shared" si="8"/>
        <v>2969285.3686504527</v>
      </c>
      <c r="W20" s="59">
        <f t="shared" si="8"/>
        <v>2998978.2223369572</v>
      </c>
      <c r="X20" s="59">
        <f t="shared" si="8"/>
        <v>3028968.0045603272</v>
      </c>
      <c r="Y20" s="59">
        <f t="shared" si="8"/>
        <v>3059257.68460593</v>
      </c>
      <c r="Z20" s="59">
        <f t="shared" si="8"/>
        <v>3089850.2614519894</v>
      </c>
      <c r="AA20" s="59">
        <f t="shared" si="8"/>
        <v>3120748.7640665094</v>
      </c>
      <c r="AB20" s="59">
        <f t="shared" si="8"/>
        <v>3151956.2517071748</v>
      </c>
      <c r="AC20" s="59">
        <f t="shared" si="8"/>
        <v>3183475.814224246</v>
      </c>
      <c r="AD20" s="59">
        <f t="shared" si="8"/>
        <v>3215310.5723664886</v>
      </c>
      <c r="AE20" s="59">
        <f t="shared" si="8"/>
        <v>3247463.6780901533</v>
      </c>
      <c r="AF20" s="59">
        <f t="shared" si="8"/>
        <v>3279938.3148710551</v>
      </c>
      <c r="AG20" s="59">
        <f t="shared" si="8"/>
        <v>3312737.6980197653</v>
      </c>
      <c r="AH20" s="59">
        <f t="shared" si="8"/>
        <v>3345865.0749999629</v>
      </c>
      <c r="AI20" s="59">
        <f t="shared" si="8"/>
        <v>3379323.725749963</v>
      </c>
      <c r="AJ20" s="59">
        <f t="shared" si="8"/>
        <v>3413116.9630074622</v>
      </c>
      <c r="AK20" s="59">
        <f t="shared" si="8"/>
        <v>3447248.1326375371</v>
      </c>
      <c r="AL20" s="59">
        <f t="shared" si="8"/>
        <v>3481720.6139639122</v>
      </c>
      <c r="AM20" s="59">
        <f t="shared" si="8"/>
        <v>3516537.8201035513</v>
      </c>
      <c r="AN20" s="59">
        <f t="shared" si="8"/>
        <v>3551703.198304587</v>
      </c>
      <c r="AO20" s="59">
        <f t="shared" si="8"/>
        <v>3587220.2302876329</v>
      </c>
      <c r="AP20" s="59">
        <f t="shared" si="8"/>
        <v>3623092.4325905093</v>
      </c>
      <c r="AQ20" s="59">
        <f t="shared" si="8"/>
        <v>3659323.3569164146</v>
      </c>
      <c r="AR20" s="59">
        <f t="shared" si="8"/>
        <v>3695916.5904855784</v>
      </c>
      <c r="AS20" s="59">
        <f t="shared" si="8"/>
        <v>3732875.7563904347</v>
      </c>
      <c r="AT20" s="59">
        <f t="shared" si="8"/>
        <v>3770204.5139543386</v>
      </c>
      <c r="AU20" s="59">
        <f t="shared" si="8"/>
        <v>3807906.5590938823</v>
      </c>
      <c r="AV20" s="59">
        <f t="shared" si="8"/>
        <v>3845985.6246848209</v>
      </c>
      <c r="AW20" s="59">
        <f t="shared" si="8"/>
        <v>3884445.4809316695</v>
      </c>
      <c r="AX20" s="59">
        <f t="shared" si="8"/>
        <v>3923289.9357409859</v>
      </c>
      <c r="AY20" s="59">
        <f t="shared" si="8"/>
        <v>3962522.8350983961</v>
      </c>
      <c r="AZ20" s="59">
        <f t="shared" si="8"/>
        <v>4002148.0634493795</v>
      </c>
      <c r="BA20" s="59">
        <f t="shared" si="8"/>
        <v>4042169.5440838733</v>
      </c>
    </row>
    <row r="21" spans="1:53" ht="15" thickBot="1">
      <c r="B21" s="61"/>
      <c r="C21" s="67"/>
      <c r="D21" s="68"/>
      <c r="E21" s="69"/>
      <c r="F21" s="69"/>
      <c r="G21" s="69"/>
      <c r="H21" s="70"/>
    </row>
    <row r="22" spans="1:53" s="76" customFormat="1" ht="15" thickBot="1">
      <c r="A22" s="32"/>
      <c r="B22" s="71" t="s">
        <v>49</v>
      </c>
      <c r="C22" s="71">
        <f>C20+C15</f>
        <v>74639500</v>
      </c>
      <c r="D22" s="72">
        <f t="shared" ref="D22:BA22" si="9">D20+D15</f>
        <v>13776500</v>
      </c>
      <c r="E22" s="73">
        <f t="shared" si="9"/>
        <v>37810500</v>
      </c>
      <c r="F22" s="73">
        <f t="shared" si="9"/>
        <v>14373500</v>
      </c>
      <c r="G22" s="73">
        <f t="shared" si="9"/>
        <v>7086000</v>
      </c>
      <c r="H22" s="74">
        <f t="shared" si="9"/>
        <v>5014000</v>
      </c>
      <c r="I22" s="75">
        <f t="shared" si="9"/>
        <v>2609000</v>
      </c>
      <c r="J22" s="75">
        <f t="shared" si="9"/>
        <v>2815863.7286172002</v>
      </c>
      <c r="K22" s="75">
        <f t="shared" si="9"/>
        <v>3033498.4577353997</v>
      </c>
      <c r="L22" s="75">
        <f t="shared" si="9"/>
        <v>2688055.3089999999</v>
      </c>
      <c r="M22" s="75">
        <f t="shared" si="9"/>
        <v>2714935.86209</v>
      </c>
      <c r="N22" s="75">
        <f t="shared" si="9"/>
        <v>2742085.2207108997</v>
      </c>
      <c r="O22" s="75">
        <f t="shared" si="9"/>
        <v>2959501.0784887359</v>
      </c>
      <c r="P22" s="75">
        <f t="shared" si="9"/>
        <v>8260109.8548683031</v>
      </c>
      <c r="Q22" s="75">
        <f t="shared" si="9"/>
        <v>15645969.843568813</v>
      </c>
      <c r="R22" s="75">
        <f t="shared" si="9"/>
        <v>5735936.3126940364</v>
      </c>
      <c r="S22" s="75">
        <f t="shared" si="9"/>
        <v>3213345.7628211947</v>
      </c>
      <c r="T22" s="75">
        <f t="shared" si="9"/>
        <v>3441852.0143968128</v>
      </c>
      <c r="U22" s="75">
        <f t="shared" si="9"/>
        <v>4054416.7007695083</v>
      </c>
      <c r="V22" s="75">
        <f t="shared" si="9"/>
        <v>3726237.1275516916</v>
      </c>
      <c r="W22" s="75">
        <f t="shared" si="9"/>
        <v>2998978.2223369572</v>
      </c>
      <c r="X22" s="75">
        <f t="shared" si="9"/>
        <v>3228654.664883967</v>
      </c>
      <c r="Y22" s="75">
        <f t="shared" si="9"/>
        <v>3269130.3714769804</v>
      </c>
      <c r="Z22" s="75">
        <f t="shared" si="9"/>
        <v>15657807.672916051</v>
      </c>
      <c r="AA22" s="75">
        <f t="shared" si="9"/>
        <v>3330621.4509375598</v>
      </c>
      <c r="AB22" s="75">
        <f t="shared" si="9"/>
        <v>9128622.137001466</v>
      </c>
      <c r="AC22" s="75">
        <f t="shared" si="9"/>
        <v>17287827.555611946</v>
      </c>
      <c r="AD22" s="75">
        <f t="shared" si="9"/>
        <v>6188027.5106120929</v>
      </c>
      <c r="AE22" s="75">
        <f t="shared" si="9"/>
        <v>3823393.3769455934</v>
      </c>
      <c r="AF22" s="75">
        <f t="shared" si="9"/>
        <v>3866573.6299984092</v>
      </c>
      <c r="AG22" s="75">
        <f t="shared" si="9"/>
        <v>3312737.6980197653</v>
      </c>
      <c r="AH22" s="75">
        <f t="shared" si="9"/>
        <v>3566443.3781429268</v>
      </c>
      <c r="AI22" s="75">
        <f t="shared" si="9"/>
        <v>3611153.7391872224</v>
      </c>
      <c r="AJ22" s="75">
        <f t="shared" si="9"/>
        <v>3633695.2661504261</v>
      </c>
      <c r="AK22" s="75">
        <f t="shared" si="9"/>
        <v>4804753.6452015471</v>
      </c>
      <c r="AL22" s="75">
        <f t="shared" si="9"/>
        <v>4265136.6666702516</v>
      </c>
      <c r="AM22" s="75">
        <f t="shared" si="9"/>
        <v>4315008.9359533181</v>
      </c>
      <c r="AN22" s="75">
        <f t="shared" si="9"/>
        <v>13057992.976984009</v>
      </c>
      <c r="AO22" s="75">
        <f t="shared" si="9"/>
        <v>19109415.271138161</v>
      </c>
      <c r="AP22" s="75">
        <f t="shared" si="9"/>
        <v>6906821.3351612575</v>
      </c>
      <c r="AQ22" s="75">
        <f t="shared" si="9"/>
        <v>4295508.0449535465</v>
      </c>
      <c r="AR22" s="75">
        <f t="shared" si="9"/>
        <v>4343926.9391228287</v>
      </c>
      <c r="AS22" s="75">
        <f t="shared" si="9"/>
        <v>3988960.3185676085</v>
      </c>
      <c r="AT22" s="75">
        <f t="shared" si="9"/>
        <v>16581817.599455778</v>
      </c>
      <c r="AU22" s="75">
        <f t="shared" si="9"/>
        <v>4063991.1212710561</v>
      </c>
      <c r="AV22" s="75">
        <f t="shared" si="9"/>
        <v>4089641.2987221987</v>
      </c>
      <c r="AW22" s="75">
        <f t="shared" si="9"/>
        <v>4140530.0431088433</v>
      </c>
      <c r="AX22" s="75">
        <f t="shared" si="9"/>
        <v>4192437.384264654</v>
      </c>
      <c r="AY22" s="75">
        <f t="shared" si="9"/>
        <v>4218607.3972755698</v>
      </c>
      <c r="AZ22" s="75">
        <f t="shared" si="9"/>
        <v>11442350.30234509</v>
      </c>
      <c r="BA22" s="75">
        <f t="shared" si="9"/>
        <v>22437419.972193845</v>
      </c>
    </row>
    <row r="23" spans="1:53" ht="15" thickBot="1">
      <c r="B23" s="51"/>
      <c r="C23" s="52"/>
      <c r="D23" s="52"/>
      <c r="E23" s="52"/>
      <c r="F23" s="52"/>
      <c r="G23" s="52"/>
      <c r="H23" s="53"/>
    </row>
    <row r="24" spans="1:53" ht="15" thickBot="1">
      <c r="B24" s="35" t="s">
        <v>53</v>
      </c>
      <c r="C24" s="36" t="str">
        <f t="shared" ref="C24:AD24" si="10">C6</f>
        <v>TOTAL</v>
      </c>
      <c r="D24" s="37">
        <f t="shared" si="10"/>
        <v>2021</v>
      </c>
      <c r="E24" s="39">
        <f t="shared" si="10"/>
        <v>2022</v>
      </c>
      <c r="F24" s="39">
        <f t="shared" si="10"/>
        <v>2023</v>
      </c>
      <c r="G24" s="39">
        <f t="shared" si="10"/>
        <v>2024</v>
      </c>
      <c r="H24" s="40">
        <f t="shared" si="10"/>
        <v>2025</v>
      </c>
      <c r="I24" s="41">
        <f t="shared" si="10"/>
        <v>2026</v>
      </c>
      <c r="J24" s="42">
        <f t="shared" si="10"/>
        <v>2027</v>
      </c>
      <c r="K24" s="42">
        <f t="shared" si="10"/>
        <v>2028</v>
      </c>
      <c r="L24" s="42">
        <f t="shared" si="10"/>
        <v>2029</v>
      </c>
      <c r="M24" s="42">
        <f t="shared" si="10"/>
        <v>2030</v>
      </c>
      <c r="N24" s="42">
        <f t="shared" si="10"/>
        <v>2031</v>
      </c>
      <c r="O24" s="42">
        <f t="shared" si="10"/>
        <v>2032</v>
      </c>
      <c r="P24" s="42">
        <f t="shared" si="10"/>
        <v>2033</v>
      </c>
      <c r="Q24" s="42">
        <f t="shared" si="10"/>
        <v>2034</v>
      </c>
      <c r="R24" s="42">
        <f t="shared" si="10"/>
        <v>2035</v>
      </c>
      <c r="S24" s="42">
        <f t="shared" si="10"/>
        <v>2036</v>
      </c>
      <c r="T24" s="42">
        <f t="shared" si="10"/>
        <v>2037</v>
      </c>
      <c r="U24" s="42">
        <f t="shared" si="10"/>
        <v>2038</v>
      </c>
      <c r="V24" s="42">
        <f t="shared" si="10"/>
        <v>2039</v>
      </c>
      <c r="W24" s="42">
        <f t="shared" si="10"/>
        <v>2040</v>
      </c>
      <c r="X24" s="42">
        <f t="shared" si="10"/>
        <v>2041</v>
      </c>
      <c r="Y24" s="42">
        <f t="shared" si="10"/>
        <v>2042</v>
      </c>
      <c r="Z24" s="42">
        <f t="shared" si="10"/>
        <v>2043</v>
      </c>
      <c r="AA24" s="42">
        <f t="shared" si="10"/>
        <v>2044</v>
      </c>
      <c r="AB24" s="42">
        <f t="shared" si="10"/>
        <v>2045</v>
      </c>
      <c r="AC24" s="42">
        <f t="shared" si="10"/>
        <v>2046</v>
      </c>
      <c r="AD24" s="42">
        <f t="shared" si="10"/>
        <v>2047</v>
      </c>
      <c r="AE24" s="42">
        <f t="shared" ref="AE24:BA24" si="11">AE6</f>
        <v>2048</v>
      </c>
      <c r="AF24" s="42">
        <f t="shared" si="11"/>
        <v>2049</v>
      </c>
      <c r="AG24" s="42">
        <f t="shared" si="11"/>
        <v>2050</v>
      </c>
      <c r="AH24" s="42">
        <f t="shared" si="11"/>
        <v>2051</v>
      </c>
      <c r="AI24" s="42">
        <f t="shared" si="11"/>
        <v>2052</v>
      </c>
      <c r="AJ24" s="42">
        <f t="shared" si="11"/>
        <v>2053</v>
      </c>
      <c r="AK24" s="42">
        <f t="shared" si="11"/>
        <v>2054</v>
      </c>
      <c r="AL24" s="42">
        <f t="shared" si="11"/>
        <v>2055</v>
      </c>
      <c r="AM24" s="42">
        <f t="shared" si="11"/>
        <v>2056</v>
      </c>
      <c r="AN24" s="42">
        <f t="shared" si="11"/>
        <v>2057</v>
      </c>
      <c r="AO24" s="42">
        <f t="shared" si="11"/>
        <v>2058</v>
      </c>
      <c r="AP24" s="42">
        <f t="shared" si="11"/>
        <v>2059</v>
      </c>
      <c r="AQ24" s="42">
        <f t="shared" si="11"/>
        <v>2060</v>
      </c>
      <c r="AR24" s="42">
        <f t="shared" si="11"/>
        <v>2061</v>
      </c>
      <c r="AS24" s="42">
        <f t="shared" si="11"/>
        <v>2062</v>
      </c>
      <c r="AT24" s="42">
        <f t="shared" si="11"/>
        <v>2063</v>
      </c>
      <c r="AU24" s="42">
        <f t="shared" si="11"/>
        <v>2064</v>
      </c>
      <c r="AV24" s="42">
        <f t="shared" si="11"/>
        <v>2065</v>
      </c>
      <c r="AW24" s="42">
        <f t="shared" si="11"/>
        <v>2066</v>
      </c>
      <c r="AX24" s="42">
        <f t="shared" si="11"/>
        <v>2067</v>
      </c>
      <c r="AY24" s="42">
        <f t="shared" si="11"/>
        <v>2068</v>
      </c>
      <c r="AZ24" s="42">
        <f t="shared" si="11"/>
        <v>2069</v>
      </c>
      <c r="BA24" s="42">
        <f t="shared" si="11"/>
        <v>2070</v>
      </c>
    </row>
    <row r="25" spans="1:53">
      <c r="B25" s="77" t="s">
        <v>50</v>
      </c>
      <c r="C25" s="78"/>
      <c r="D25" s="79"/>
      <c r="E25" s="80"/>
      <c r="F25" s="80"/>
      <c r="G25" s="80"/>
      <c r="H25" s="81"/>
      <c r="I25" s="82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</row>
    <row r="26" spans="1:53">
      <c r="B26" s="83" t="s">
        <v>9</v>
      </c>
      <c r="C26" s="84"/>
      <c r="D26" s="51"/>
      <c r="E26" s="52"/>
      <c r="F26" s="52"/>
      <c r="G26" s="52"/>
      <c r="H26" s="53"/>
      <c r="I26" s="7">
        <f>SUM('2-Benefits - EWS'!D41:D42)</f>
        <v>7343195.8540000003</v>
      </c>
      <c r="J26" s="7">
        <f t="shared" ref="J26:Y34" si="12">I26</f>
        <v>7343195.8540000003</v>
      </c>
      <c r="K26" s="7">
        <f t="shared" si="12"/>
        <v>7343195.8540000003</v>
      </c>
      <c r="L26" s="7">
        <f t="shared" si="12"/>
        <v>7343195.8540000003</v>
      </c>
      <c r="M26" s="7">
        <f t="shared" si="12"/>
        <v>7343195.8540000003</v>
      </c>
      <c r="N26" s="7">
        <f t="shared" si="12"/>
        <v>7343195.8540000003</v>
      </c>
      <c r="O26" s="7">
        <f t="shared" si="12"/>
        <v>7343195.8540000003</v>
      </c>
      <c r="P26" s="7">
        <f t="shared" si="12"/>
        <v>7343195.8540000003</v>
      </c>
      <c r="Q26" s="7">
        <f t="shared" si="12"/>
        <v>7343195.8540000003</v>
      </c>
      <c r="R26" s="7">
        <f t="shared" si="12"/>
        <v>7343195.8540000003</v>
      </c>
      <c r="S26" s="7">
        <f t="shared" si="12"/>
        <v>7343195.8540000003</v>
      </c>
      <c r="T26" s="7">
        <f t="shared" si="12"/>
        <v>7343195.8540000003</v>
      </c>
      <c r="U26" s="7">
        <f t="shared" si="12"/>
        <v>7343195.8540000003</v>
      </c>
      <c r="V26" s="7">
        <f t="shared" si="12"/>
        <v>7343195.8540000003</v>
      </c>
      <c r="W26" s="7">
        <f t="shared" si="12"/>
        <v>7343195.8540000003</v>
      </c>
      <c r="X26" s="7">
        <f t="shared" si="12"/>
        <v>7343195.8540000003</v>
      </c>
      <c r="Y26" s="7">
        <f t="shared" si="12"/>
        <v>7343195.8540000003</v>
      </c>
      <c r="Z26" s="7">
        <f t="shared" ref="K26:BA33" si="13">Y26</f>
        <v>7343195.8540000003</v>
      </c>
      <c r="AA26" s="7">
        <f t="shared" si="13"/>
        <v>7343195.8540000003</v>
      </c>
      <c r="AB26" s="7">
        <f t="shared" si="13"/>
        <v>7343195.8540000003</v>
      </c>
      <c r="AC26" s="7">
        <f t="shared" si="13"/>
        <v>7343195.8540000003</v>
      </c>
      <c r="AD26" s="7">
        <f t="shared" si="13"/>
        <v>7343195.8540000003</v>
      </c>
      <c r="AE26" s="7">
        <f t="shared" si="13"/>
        <v>7343195.8540000003</v>
      </c>
      <c r="AF26" s="7">
        <f t="shared" si="13"/>
        <v>7343195.8540000003</v>
      </c>
      <c r="AG26" s="7">
        <f t="shared" si="13"/>
        <v>7343195.8540000003</v>
      </c>
      <c r="AH26" s="7">
        <f t="shared" si="13"/>
        <v>7343195.8540000003</v>
      </c>
      <c r="AI26" s="7">
        <f t="shared" si="13"/>
        <v>7343195.8540000003</v>
      </c>
      <c r="AJ26" s="7">
        <f t="shared" si="13"/>
        <v>7343195.8540000003</v>
      </c>
      <c r="AK26" s="7">
        <f t="shared" si="13"/>
        <v>7343195.8540000003</v>
      </c>
      <c r="AL26" s="7">
        <f t="shared" si="13"/>
        <v>7343195.8540000003</v>
      </c>
      <c r="AM26" s="7">
        <f t="shared" si="13"/>
        <v>7343195.8540000003</v>
      </c>
      <c r="AN26" s="7">
        <f t="shared" si="13"/>
        <v>7343195.8540000003</v>
      </c>
      <c r="AO26" s="7">
        <f t="shared" si="13"/>
        <v>7343195.8540000003</v>
      </c>
      <c r="AP26" s="7">
        <f t="shared" si="13"/>
        <v>7343195.8540000003</v>
      </c>
      <c r="AQ26" s="7">
        <f t="shared" si="13"/>
        <v>7343195.8540000003</v>
      </c>
      <c r="AR26" s="7">
        <f t="shared" si="13"/>
        <v>7343195.8540000003</v>
      </c>
      <c r="AS26" s="7">
        <f t="shared" si="13"/>
        <v>7343195.8540000003</v>
      </c>
      <c r="AT26" s="7">
        <f t="shared" si="13"/>
        <v>7343195.8540000003</v>
      </c>
      <c r="AU26" s="7">
        <f t="shared" si="13"/>
        <v>7343195.8540000003</v>
      </c>
      <c r="AV26" s="7">
        <f t="shared" si="13"/>
        <v>7343195.8540000003</v>
      </c>
      <c r="AW26" s="7">
        <f t="shared" si="13"/>
        <v>7343195.8540000003</v>
      </c>
      <c r="AX26" s="7">
        <f t="shared" si="13"/>
        <v>7343195.8540000003</v>
      </c>
      <c r="AY26" s="7">
        <f t="shared" si="13"/>
        <v>7343195.8540000003</v>
      </c>
      <c r="AZ26" s="7">
        <f t="shared" si="13"/>
        <v>7343195.8540000003</v>
      </c>
      <c r="BA26" s="7">
        <f t="shared" si="13"/>
        <v>7343195.8540000003</v>
      </c>
    </row>
    <row r="27" spans="1:53">
      <c r="B27" s="83" t="s">
        <v>25</v>
      </c>
      <c r="C27" s="84"/>
      <c r="D27" s="51"/>
      <c r="E27" s="52"/>
      <c r="F27" s="52"/>
      <c r="G27" s="52"/>
      <c r="H27" s="53"/>
      <c r="I27" s="7">
        <f>SUM('2-Benefits - EWS'!D39:D40)</f>
        <v>326930.89300000004</v>
      </c>
      <c r="J27" s="7">
        <f t="shared" si="12"/>
        <v>326930.89300000004</v>
      </c>
      <c r="K27" s="7">
        <f t="shared" si="13"/>
        <v>326930.89300000004</v>
      </c>
      <c r="L27" s="7">
        <f t="shared" si="13"/>
        <v>326930.89300000004</v>
      </c>
      <c r="M27" s="7">
        <f t="shared" si="13"/>
        <v>326930.89300000004</v>
      </c>
      <c r="N27" s="7">
        <f t="shared" si="13"/>
        <v>326930.89300000004</v>
      </c>
      <c r="O27" s="7">
        <f t="shared" si="13"/>
        <v>326930.89300000004</v>
      </c>
      <c r="P27" s="7">
        <f t="shared" si="13"/>
        <v>326930.89300000004</v>
      </c>
      <c r="Q27" s="7">
        <f t="shared" si="13"/>
        <v>326930.89300000004</v>
      </c>
      <c r="R27" s="7">
        <f t="shared" si="13"/>
        <v>326930.89300000004</v>
      </c>
      <c r="S27" s="7">
        <f t="shared" si="13"/>
        <v>326930.89300000004</v>
      </c>
      <c r="T27" s="7">
        <f t="shared" si="13"/>
        <v>326930.89300000004</v>
      </c>
      <c r="U27" s="7">
        <f t="shared" si="13"/>
        <v>326930.89300000004</v>
      </c>
      <c r="V27" s="7">
        <f t="shared" si="13"/>
        <v>326930.89300000004</v>
      </c>
      <c r="W27" s="7">
        <f t="shared" si="13"/>
        <v>326930.89300000004</v>
      </c>
      <c r="X27" s="7">
        <f t="shared" si="13"/>
        <v>326930.89300000004</v>
      </c>
      <c r="Y27" s="7">
        <f t="shared" si="13"/>
        <v>326930.89300000004</v>
      </c>
      <c r="Z27" s="7">
        <f t="shared" si="13"/>
        <v>326930.89300000004</v>
      </c>
      <c r="AA27" s="7">
        <f t="shared" si="13"/>
        <v>326930.89300000004</v>
      </c>
      <c r="AB27" s="7">
        <f t="shared" si="13"/>
        <v>326930.89300000004</v>
      </c>
      <c r="AC27" s="7">
        <f t="shared" si="13"/>
        <v>326930.89300000004</v>
      </c>
      <c r="AD27" s="7">
        <f t="shared" si="13"/>
        <v>326930.89300000004</v>
      </c>
      <c r="AE27" s="7">
        <f t="shared" si="13"/>
        <v>326930.89300000004</v>
      </c>
      <c r="AF27" s="7">
        <f t="shared" si="13"/>
        <v>326930.89300000004</v>
      </c>
      <c r="AG27" s="7">
        <f t="shared" si="13"/>
        <v>326930.89300000004</v>
      </c>
      <c r="AH27" s="7">
        <f t="shared" si="13"/>
        <v>326930.89300000004</v>
      </c>
      <c r="AI27" s="7">
        <f t="shared" si="13"/>
        <v>326930.89300000004</v>
      </c>
      <c r="AJ27" s="7">
        <f t="shared" si="13"/>
        <v>326930.89300000004</v>
      </c>
      <c r="AK27" s="7">
        <f t="shared" si="13"/>
        <v>326930.89300000004</v>
      </c>
      <c r="AL27" s="7">
        <f t="shared" si="13"/>
        <v>326930.89300000004</v>
      </c>
      <c r="AM27" s="7">
        <f t="shared" si="13"/>
        <v>326930.89300000004</v>
      </c>
      <c r="AN27" s="7">
        <f t="shared" si="13"/>
        <v>326930.89300000004</v>
      </c>
      <c r="AO27" s="7">
        <f t="shared" si="13"/>
        <v>326930.89300000004</v>
      </c>
      <c r="AP27" s="7">
        <f t="shared" si="13"/>
        <v>326930.89300000004</v>
      </c>
      <c r="AQ27" s="7">
        <f t="shared" si="13"/>
        <v>326930.89300000004</v>
      </c>
      <c r="AR27" s="7">
        <f t="shared" si="13"/>
        <v>326930.89300000004</v>
      </c>
      <c r="AS27" s="7">
        <f t="shared" si="13"/>
        <v>326930.89300000004</v>
      </c>
      <c r="AT27" s="7">
        <f t="shared" si="13"/>
        <v>326930.89300000004</v>
      </c>
      <c r="AU27" s="7">
        <f t="shared" si="13"/>
        <v>326930.89300000004</v>
      </c>
      <c r="AV27" s="7">
        <f t="shared" si="13"/>
        <v>326930.89300000004</v>
      </c>
      <c r="AW27" s="7">
        <f t="shared" si="13"/>
        <v>326930.89300000004</v>
      </c>
      <c r="AX27" s="7">
        <f t="shared" si="13"/>
        <v>326930.89300000004</v>
      </c>
      <c r="AY27" s="7">
        <f t="shared" si="13"/>
        <v>326930.89300000004</v>
      </c>
      <c r="AZ27" s="7">
        <f t="shared" si="13"/>
        <v>326930.89300000004</v>
      </c>
      <c r="BA27" s="7">
        <f t="shared" si="13"/>
        <v>326930.89300000004</v>
      </c>
    </row>
    <row r="28" spans="1:53">
      <c r="B28" s="83" t="s">
        <v>11</v>
      </c>
      <c r="C28" s="84"/>
      <c r="D28" s="51"/>
      <c r="E28" s="52"/>
      <c r="F28" s="52"/>
      <c r="G28" s="52"/>
      <c r="H28" s="53"/>
      <c r="I28" s="7">
        <f>SUM('2-Benefits - EWS'!D45:D46)</f>
        <v>196504.573</v>
      </c>
      <c r="J28" s="7">
        <f t="shared" si="12"/>
        <v>196504.573</v>
      </c>
      <c r="K28" s="7">
        <f t="shared" si="13"/>
        <v>196504.573</v>
      </c>
      <c r="L28" s="7">
        <f t="shared" si="13"/>
        <v>196504.573</v>
      </c>
      <c r="M28" s="7">
        <f t="shared" si="13"/>
        <v>196504.573</v>
      </c>
      <c r="N28" s="7">
        <f t="shared" si="13"/>
        <v>196504.573</v>
      </c>
      <c r="O28" s="7">
        <f t="shared" si="13"/>
        <v>196504.573</v>
      </c>
      <c r="P28" s="7">
        <f t="shared" si="13"/>
        <v>196504.573</v>
      </c>
      <c r="Q28" s="7">
        <f t="shared" si="13"/>
        <v>196504.573</v>
      </c>
      <c r="R28" s="7">
        <f t="shared" si="13"/>
        <v>196504.573</v>
      </c>
      <c r="S28" s="7">
        <f t="shared" si="13"/>
        <v>196504.573</v>
      </c>
      <c r="T28" s="7">
        <f t="shared" si="13"/>
        <v>196504.573</v>
      </c>
      <c r="U28" s="7">
        <f t="shared" si="13"/>
        <v>196504.573</v>
      </c>
      <c r="V28" s="7">
        <f t="shared" si="13"/>
        <v>196504.573</v>
      </c>
      <c r="W28" s="7">
        <f t="shared" si="13"/>
        <v>196504.573</v>
      </c>
      <c r="X28" s="7">
        <f t="shared" si="13"/>
        <v>196504.573</v>
      </c>
      <c r="Y28" s="7">
        <f t="shared" si="13"/>
        <v>196504.573</v>
      </c>
      <c r="Z28" s="7">
        <f t="shared" si="13"/>
        <v>196504.573</v>
      </c>
      <c r="AA28" s="7">
        <f t="shared" si="13"/>
        <v>196504.573</v>
      </c>
      <c r="AB28" s="7">
        <f t="shared" si="13"/>
        <v>196504.573</v>
      </c>
      <c r="AC28" s="7">
        <f t="shared" si="13"/>
        <v>196504.573</v>
      </c>
      <c r="AD28" s="7">
        <f t="shared" si="13"/>
        <v>196504.573</v>
      </c>
      <c r="AE28" s="7">
        <f t="shared" si="13"/>
        <v>196504.573</v>
      </c>
      <c r="AF28" s="7">
        <f t="shared" si="13"/>
        <v>196504.573</v>
      </c>
      <c r="AG28" s="7">
        <f t="shared" si="13"/>
        <v>196504.573</v>
      </c>
      <c r="AH28" s="7">
        <f t="shared" si="13"/>
        <v>196504.573</v>
      </c>
      <c r="AI28" s="7">
        <f t="shared" si="13"/>
        <v>196504.573</v>
      </c>
      <c r="AJ28" s="7">
        <f t="shared" si="13"/>
        <v>196504.573</v>
      </c>
      <c r="AK28" s="7">
        <f t="shared" si="13"/>
        <v>196504.573</v>
      </c>
      <c r="AL28" s="7">
        <f t="shared" si="13"/>
        <v>196504.573</v>
      </c>
      <c r="AM28" s="7">
        <f t="shared" si="13"/>
        <v>196504.573</v>
      </c>
      <c r="AN28" s="7">
        <f t="shared" si="13"/>
        <v>196504.573</v>
      </c>
      <c r="AO28" s="7">
        <f t="shared" si="13"/>
        <v>196504.573</v>
      </c>
      <c r="AP28" s="7">
        <f t="shared" si="13"/>
        <v>196504.573</v>
      </c>
      <c r="AQ28" s="7">
        <f t="shared" si="13"/>
        <v>196504.573</v>
      </c>
      <c r="AR28" s="7">
        <f t="shared" si="13"/>
        <v>196504.573</v>
      </c>
      <c r="AS28" s="7">
        <f t="shared" si="13"/>
        <v>196504.573</v>
      </c>
      <c r="AT28" s="7">
        <f t="shared" si="13"/>
        <v>196504.573</v>
      </c>
      <c r="AU28" s="7">
        <f t="shared" si="13"/>
        <v>196504.573</v>
      </c>
      <c r="AV28" s="7">
        <f t="shared" si="13"/>
        <v>196504.573</v>
      </c>
      <c r="AW28" s="7">
        <f t="shared" si="13"/>
        <v>196504.573</v>
      </c>
      <c r="AX28" s="7">
        <f t="shared" si="13"/>
        <v>196504.573</v>
      </c>
      <c r="AY28" s="7">
        <f t="shared" si="13"/>
        <v>196504.573</v>
      </c>
      <c r="AZ28" s="7">
        <f t="shared" si="13"/>
        <v>196504.573</v>
      </c>
      <c r="BA28" s="7">
        <f t="shared" si="13"/>
        <v>196504.573</v>
      </c>
    </row>
    <row r="29" spans="1:53">
      <c r="B29" s="83" t="s">
        <v>3</v>
      </c>
      <c r="C29" s="84"/>
      <c r="D29" s="51"/>
      <c r="E29" s="52"/>
      <c r="F29" s="52"/>
      <c r="G29" s="52"/>
      <c r="H29" s="53"/>
      <c r="I29" s="7">
        <f>SUM('2-Benefits - EWS'!D43:D44)</f>
        <v>6171808.5085000005</v>
      </c>
      <c r="J29" s="7">
        <f t="shared" si="12"/>
        <v>6171808.5085000005</v>
      </c>
      <c r="K29" s="7">
        <f t="shared" si="13"/>
        <v>6171808.5085000005</v>
      </c>
      <c r="L29" s="7">
        <f t="shared" si="13"/>
        <v>6171808.5085000005</v>
      </c>
      <c r="M29" s="7">
        <f t="shared" si="13"/>
        <v>6171808.5085000005</v>
      </c>
      <c r="N29" s="7">
        <f t="shared" si="13"/>
        <v>6171808.5085000005</v>
      </c>
      <c r="O29" s="7">
        <f t="shared" si="13"/>
        <v>6171808.5085000005</v>
      </c>
      <c r="P29" s="7">
        <f t="shared" si="13"/>
        <v>6171808.5085000005</v>
      </c>
      <c r="Q29" s="7">
        <f t="shared" si="13"/>
        <v>6171808.5085000005</v>
      </c>
      <c r="R29" s="7">
        <f t="shared" si="13"/>
        <v>6171808.5085000005</v>
      </c>
      <c r="S29" s="7">
        <f t="shared" si="13"/>
        <v>6171808.5085000005</v>
      </c>
      <c r="T29" s="7">
        <f t="shared" si="13"/>
        <v>6171808.5085000005</v>
      </c>
      <c r="U29" s="7">
        <f t="shared" si="13"/>
        <v>6171808.5085000005</v>
      </c>
      <c r="V29" s="7">
        <f t="shared" si="13"/>
        <v>6171808.5085000005</v>
      </c>
      <c r="W29" s="7">
        <f t="shared" si="13"/>
        <v>6171808.5085000005</v>
      </c>
      <c r="X29" s="7">
        <f t="shared" si="13"/>
        <v>6171808.5085000005</v>
      </c>
      <c r="Y29" s="7">
        <f t="shared" si="13"/>
        <v>6171808.5085000005</v>
      </c>
      <c r="Z29" s="7">
        <f t="shared" si="13"/>
        <v>6171808.5085000005</v>
      </c>
      <c r="AA29" s="7">
        <f t="shared" si="13"/>
        <v>6171808.5085000005</v>
      </c>
      <c r="AB29" s="7">
        <f t="shared" si="13"/>
        <v>6171808.5085000005</v>
      </c>
      <c r="AC29" s="7">
        <f t="shared" si="13"/>
        <v>6171808.5085000005</v>
      </c>
      <c r="AD29" s="7">
        <f t="shared" si="13"/>
        <v>6171808.5085000005</v>
      </c>
      <c r="AE29" s="7">
        <f t="shared" si="13"/>
        <v>6171808.5085000005</v>
      </c>
      <c r="AF29" s="7">
        <f t="shared" si="13"/>
        <v>6171808.5085000005</v>
      </c>
      <c r="AG29" s="7">
        <f t="shared" si="13"/>
        <v>6171808.5085000005</v>
      </c>
      <c r="AH29" s="7">
        <f t="shared" si="13"/>
        <v>6171808.5085000005</v>
      </c>
      <c r="AI29" s="7">
        <f t="shared" si="13"/>
        <v>6171808.5085000005</v>
      </c>
      <c r="AJ29" s="7">
        <f t="shared" si="13"/>
        <v>6171808.5085000005</v>
      </c>
      <c r="AK29" s="7">
        <f t="shared" si="13"/>
        <v>6171808.5085000005</v>
      </c>
      <c r="AL29" s="7">
        <f t="shared" si="13"/>
        <v>6171808.5085000005</v>
      </c>
      <c r="AM29" s="7">
        <f t="shared" si="13"/>
        <v>6171808.5085000005</v>
      </c>
      <c r="AN29" s="7">
        <f t="shared" si="13"/>
        <v>6171808.5085000005</v>
      </c>
      <c r="AO29" s="7">
        <f t="shared" si="13"/>
        <v>6171808.5085000005</v>
      </c>
      <c r="AP29" s="7">
        <f t="shared" si="13"/>
        <v>6171808.5085000005</v>
      </c>
      <c r="AQ29" s="7">
        <f t="shared" si="13"/>
        <v>6171808.5085000005</v>
      </c>
      <c r="AR29" s="7">
        <f t="shared" si="13"/>
        <v>6171808.5085000005</v>
      </c>
      <c r="AS29" s="7">
        <f t="shared" si="13"/>
        <v>6171808.5085000005</v>
      </c>
      <c r="AT29" s="7">
        <f t="shared" si="13"/>
        <v>6171808.5085000005</v>
      </c>
      <c r="AU29" s="7">
        <f t="shared" si="13"/>
        <v>6171808.5085000005</v>
      </c>
      <c r="AV29" s="7">
        <f t="shared" si="13"/>
        <v>6171808.5085000005</v>
      </c>
      <c r="AW29" s="7">
        <f t="shared" si="13"/>
        <v>6171808.5085000005</v>
      </c>
      <c r="AX29" s="7">
        <f t="shared" si="13"/>
        <v>6171808.5085000005</v>
      </c>
      <c r="AY29" s="7">
        <f t="shared" si="13"/>
        <v>6171808.5085000005</v>
      </c>
      <c r="AZ29" s="7">
        <f t="shared" si="13"/>
        <v>6171808.5085000005</v>
      </c>
      <c r="BA29" s="7">
        <f t="shared" si="13"/>
        <v>6171808.5085000005</v>
      </c>
    </row>
    <row r="30" spans="1:53">
      <c r="B30" s="77" t="s">
        <v>51</v>
      </c>
      <c r="C30" s="78"/>
      <c r="D30" s="79"/>
      <c r="E30" s="80"/>
      <c r="F30" s="80"/>
      <c r="G30" s="80"/>
      <c r="H30" s="81"/>
      <c r="I30" s="82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</row>
    <row r="31" spans="1:53">
      <c r="B31" s="83" t="s">
        <v>9</v>
      </c>
      <c r="C31" s="84"/>
      <c r="D31" s="51"/>
      <c r="E31" s="52"/>
      <c r="F31" s="52"/>
      <c r="G31" s="52"/>
      <c r="H31" s="53"/>
      <c r="I31" s="7">
        <f>'3-benefits - Agric. Sector'!$D$16</f>
        <v>21797524.700904846</v>
      </c>
      <c r="J31" s="7">
        <f t="shared" si="12"/>
        <v>21797524.700904846</v>
      </c>
      <c r="K31" s="7">
        <f t="shared" si="13"/>
        <v>21797524.700904846</v>
      </c>
      <c r="L31" s="7">
        <f t="shared" si="13"/>
        <v>21797524.700904846</v>
      </c>
      <c r="M31" s="7">
        <f t="shared" si="13"/>
        <v>21797524.700904846</v>
      </c>
      <c r="N31" s="264">
        <f>'3-benefits - Agric. Sector'!$D$66</f>
        <v>43595049.401809692</v>
      </c>
      <c r="O31" s="7">
        <f t="shared" si="13"/>
        <v>43595049.401809692</v>
      </c>
      <c r="P31" s="7">
        <f t="shared" si="13"/>
        <v>43595049.401809692</v>
      </c>
      <c r="Q31" s="7">
        <f t="shared" si="13"/>
        <v>43595049.401809692</v>
      </c>
      <c r="R31" s="7">
        <f t="shared" si="13"/>
        <v>43595049.401809692</v>
      </c>
      <c r="S31" s="7">
        <f t="shared" si="13"/>
        <v>43595049.401809692</v>
      </c>
      <c r="T31" s="7">
        <f t="shared" si="13"/>
        <v>43595049.401809692</v>
      </c>
      <c r="U31" s="7">
        <f t="shared" si="13"/>
        <v>43595049.401809692</v>
      </c>
      <c r="V31" s="7">
        <f t="shared" si="13"/>
        <v>43595049.401809692</v>
      </c>
      <c r="W31" s="7">
        <f t="shared" si="13"/>
        <v>43595049.401809692</v>
      </c>
      <c r="X31" s="264">
        <f>'3-benefits - Agric. Sector'!$D$114</f>
        <v>65392574.102714539</v>
      </c>
      <c r="Y31" s="7">
        <f t="shared" si="13"/>
        <v>65392574.102714539</v>
      </c>
      <c r="Z31" s="7">
        <f t="shared" si="13"/>
        <v>65392574.102714539</v>
      </c>
      <c r="AA31" s="7">
        <f t="shared" si="13"/>
        <v>65392574.102714539</v>
      </c>
      <c r="AB31" s="7">
        <f t="shared" si="13"/>
        <v>65392574.102714539</v>
      </c>
      <c r="AC31" s="7">
        <f t="shared" si="13"/>
        <v>65392574.102714539</v>
      </c>
      <c r="AD31" s="7">
        <f t="shared" si="13"/>
        <v>65392574.102714539</v>
      </c>
      <c r="AE31" s="7">
        <f t="shared" si="13"/>
        <v>65392574.102714539</v>
      </c>
      <c r="AF31" s="7">
        <f t="shared" si="13"/>
        <v>65392574.102714539</v>
      </c>
      <c r="AG31" s="7">
        <f t="shared" si="13"/>
        <v>65392574.102714539</v>
      </c>
      <c r="AH31" s="7">
        <f t="shared" si="13"/>
        <v>65392574.102714539</v>
      </c>
      <c r="AI31" s="7">
        <f t="shared" si="13"/>
        <v>65392574.102714539</v>
      </c>
      <c r="AJ31" s="7">
        <f t="shared" si="13"/>
        <v>65392574.102714539</v>
      </c>
      <c r="AK31" s="7">
        <f t="shared" si="13"/>
        <v>65392574.102714539</v>
      </c>
      <c r="AL31" s="7">
        <f t="shared" si="13"/>
        <v>65392574.102714539</v>
      </c>
      <c r="AM31" s="7">
        <f t="shared" si="13"/>
        <v>65392574.102714539</v>
      </c>
      <c r="AN31" s="7">
        <f t="shared" si="13"/>
        <v>65392574.102714539</v>
      </c>
      <c r="AO31" s="7">
        <f t="shared" si="13"/>
        <v>65392574.102714539</v>
      </c>
      <c r="AP31" s="7">
        <f t="shared" si="13"/>
        <v>65392574.102714539</v>
      </c>
      <c r="AQ31" s="7">
        <f t="shared" si="13"/>
        <v>65392574.102714539</v>
      </c>
      <c r="AR31" s="7">
        <f t="shared" si="13"/>
        <v>65392574.102714539</v>
      </c>
      <c r="AS31" s="7">
        <f t="shared" si="13"/>
        <v>65392574.102714539</v>
      </c>
      <c r="AT31" s="7">
        <f t="shared" si="13"/>
        <v>65392574.102714539</v>
      </c>
      <c r="AU31" s="7">
        <f t="shared" si="13"/>
        <v>65392574.102714539</v>
      </c>
      <c r="AV31" s="7">
        <f t="shared" si="13"/>
        <v>65392574.102714539</v>
      </c>
      <c r="AW31" s="7">
        <f t="shared" si="13"/>
        <v>65392574.102714539</v>
      </c>
      <c r="AX31" s="7">
        <f t="shared" si="13"/>
        <v>65392574.102714539</v>
      </c>
      <c r="AY31" s="7">
        <f t="shared" si="13"/>
        <v>65392574.102714539</v>
      </c>
      <c r="AZ31" s="7">
        <f t="shared" si="13"/>
        <v>65392574.102714539</v>
      </c>
      <c r="BA31" s="7">
        <f t="shared" si="13"/>
        <v>65392574.102714539</v>
      </c>
    </row>
    <row r="32" spans="1:53">
      <c r="B32" s="83" t="s">
        <v>25</v>
      </c>
      <c r="C32" s="84"/>
      <c r="D32" s="51"/>
      <c r="E32" s="52"/>
      <c r="F32" s="52"/>
      <c r="G32" s="52"/>
      <c r="H32" s="53"/>
      <c r="I32" s="7">
        <f>'3-benefits - Agric. Sector'!K16</f>
        <v>429584.45073376596</v>
      </c>
      <c r="J32" s="7">
        <f t="shared" si="12"/>
        <v>429584.45073376596</v>
      </c>
      <c r="K32" s="7">
        <f t="shared" si="13"/>
        <v>429584.45073376596</v>
      </c>
      <c r="L32" s="7">
        <f t="shared" si="13"/>
        <v>429584.45073376596</v>
      </c>
      <c r="M32" s="7">
        <f t="shared" si="13"/>
        <v>429584.45073376596</v>
      </c>
      <c r="N32" s="264">
        <f>'3-benefits - Agric. Sector'!$K$66</f>
        <v>859168.90146753192</v>
      </c>
      <c r="O32" s="7">
        <f t="shared" si="13"/>
        <v>859168.90146753192</v>
      </c>
      <c r="P32" s="7">
        <f t="shared" si="13"/>
        <v>859168.90146753192</v>
      </c>
      <c r="Q32" s="7">
        <f t="shared" si="13"/>
        <v>859168.90146753192</v>
      </c>
      <c r="R32" s="7">
        <f t="shared" si="13"/>
        <v>859168.90146753192</v>
      </c>
      <c r="S32" s="7">
        <f t="shared" si="13"/>
        <v>859168.90146753192</v>
      </c>
      <c r="T32" s="7">
        <f t="shared" si="13"/>
        <v>859168.90146753192</v>
      </c>
      <c r="U32" s="7">
        <f t="shared" si="13"/>
        <v>859168.90146753192</v>
      </c>
      <c r="V32" s="7">
        <f t="shared" si="13"/>
        <v>859168.90146753192</v>
      </c>
      <c r="W32" s="7">
        <f t="shared" si="13"/>
        <v>859168.90146753192</v>
      </c>
      <c r="X32" s="264">
        <f>'3-benefits - Agric. Sector'!$K$114</f>
        <v>1288753.3522012979</v>
      </c>
      <c r="Y32" s="7">
        <f t="shared" si="13"/>
        <v>1288753.3522012979</v>
      </c>
      <c r="Z32" s="7">
        <f t="shared" si="13"/>
        <v>1288753.3522012979</v>
      </c>
      <c r="AA32" s="7">
        <f t="shared" si="13"/>
        <v>1288753.3522012979</v>
      </c>
      <c r="AB32" s="7">
        <f t="shared" si="13"/>
        <v>1288753.3522012979</v>
      </c>
      <c r="AC32" s="7">
        <f t="shared" si="13"/>
        <v>1288753.3522012979</v>
      </c>
      <c r="AD32" s="7">
        <f t="shared" si="13"/>
        <v>1288753.3522012979</v>
      </c>
      <c r="AE32" s="7">
        <f t="shared" si="13"/>
        <v>1288753.3522012979</v>
      </c>
      <c r="AF32" s="7">
        <f t="shared" si="13"/>
        <v>1288753.3522012979</v>
      </c>
      <c r="AG32" s="7">
        <f t="shared" si="13"/>
        <v>1288753.3522012979</v>
      </c>
      <c r="AH32" s="7">
        <f t="shared" si="13"/>
        <v>1288753.3522012979</v>
      </c>
      <c r="AI32" s="7">
        <f t="shared" si="13"/>
        <v>1288753.3522012979</v>
      </c>
      <c r="AJ32" s="7">
        <f t="shared" si="13"/>
        <v>1288753.3522012979</v>
      </c>
      <c r="AK32" s="7">
        <f t="shared" si="13"/>
        <v>1288753.3522012979</v>
      </c>
      <c r="AL32" s="7">
        <f t="shared" si="13"/>
        <v>1288753.3522012979</v>
      </c>
      <c r="AM32" s="7">
        <f t="shared" si="13"/>
        <v>1288753.3522012979</v>
      </c>
      <c r="AN32" s="7">
        <f t="shared" si="13"/>
        <v>1288753.3522012979</v>
      </c>
      <c r="AO32" s="7">
        <f t="shared" si="13"/>
        <v>1288753.3522012979</v>
      </c>
      <c r="AP32" s="7">
        <f t="shared" si="13"/>
        <v>1288753.3522012979</v>
      </c>
      <c r="AQ32" s="7">
        <f t="shared" si="13"/>
        <v>1288753.3522012979</v>
      </c>
      <c r="AR32" s="7">
        <f t="shared" si="13"/>
        <v>1288753.3522012979</v>
      </c>
      <c r="AS32" s="7">
        <f t="shared" si="13"/>
        <v>1288753.3522012979</v>
      </c>
      <c r="AT32" s="7">
        <f t="shared" si="13"/>
        <v>1288753.3522012979</v>
      </c>
      <c r="AU32" s="7">
        <f t="shared" si="13"/>
        <v>1288753.3522012979</v>
      </c>
      <c r="AV32" s="7">
        <f t="shared" si="13"/>
        <v>1288753.3522012979</v>
      </c>
      <c r="AW32" s="7">
        <f t="shared" si="13"/>
        <v>1288753.3522012979</v>
      </c>
      <c r="AX32" s="7">
        <f t="shared" si="13"/>
        <v>1288753.3522012979</v>
      </c>
      <c r="AY32" s="7">
        <f t="shared" si="13"/>
        <v>1288753.3522012979</v>
      </c>
      <c r="AZ32" s="7">
        <f t="shared" si="13"/>
        <v>1288753.3522012979</v>
      </c>
      <c r="BA32" s="7">
        <f t="shared" si="13"/>
        <v>1288753.3522012979</v>
      </c>
    </row>
    <row r="33" spans="2:53">
      <c r="B33" s="83" t="s">
        <v>11</v>
      </c>
      <c r="C33" s="84"/>
      <c r="D33" s="51"/>
      <c r="E33" s="52"/>
      <c r="F33" s="52"/>
      <c r="G33" s="52"/>
      <c r="H33" s="53"/>
      <c r="I33" s="7">
        <f>'3-benefits - Agric. Sector'!D29</f>
        <v>30686.183040690608</v>
      </c>
      <c r="J33" s="7">
        <f t="shared" si="12"/>
        <v>30686.183040690608</v>
      </c>
      <c r="K33" s="7">
        <f t="shared" si="13"/>
        <v>30686.183040690608</v>
      </c>
      <c r="L33" s="7">
        <f t="shared" si="13"/>
        <v>30686.183040690608</v>
      </c>
      <c r="M33" s="7">
        <f t="shared" si="13"/>
        <v>30686.183040690608</v>
      </c>
      <c r="N33" s="264">
        <f>'3-benefits - Agric. Sector'!D79</f>
        <v>61372.366081380285</v>
      </c>
      <c r="O33" s="7">
        <f t="shared" si="13"/>
        <v>61372.366081380285</v>
      </c>
      <c r="P33" s="7">
        <f t="shared" si="13"/>
        <v>61372.366081380285</v>
      </c>
      <c r="Q33" s="7">
        <f t="shared" si="13"/>
        <v>61372.366081380285</v>
      </c>
      <c r="R33" s="7">
        <f t="shared" si="13"/>
        <v>61372.366081380285</v>
      </c>
      <c r="S33" s="7">
        <f t="shared" si="13"/>
        <v>61372.366081380285</v>
      </c>
      <c r="T33" s="7">
        <f t="shared" si="13"/>
        <v>61372.366081380285</v>
      </c>
      <c r="U33" s="7">
        <f t="shared" si="13"/>
        <v>61372.366081380285</v>
      </c>
      <c r="V33" s="7">
        <f t="shared" si="13"/>
        <v>61372.366081380285</v>
      </c>
      <c r="W33" s="7">
        <f t="shared" ref="K33:BA34" si="14">V33</f>
        <v>61372.366081380285</v>
      </c>
      <c r="X33" s="264">
        <f>'3-benefits - Agric. Sector'!D127</f>
        <v>92058.549122070894</v>
      </c>
      <c r="Y33" s="7">
        <f t="shared" si="14"/>
        <v>92058.549122070894</v>
      </c>
      <c r="Z33" s="7">
        <f t="shared" si="14"/>
        <v>92058.549122070894</v>
      </c>
      <c r="AA33" s="7">
        <f t="shared" si="14"/>
        <v>92058.549122070894</v>
      </c>
      <c r="AB33" s="7">
        <f t="shared" si="14"/>
        <v>92058.549122070894</v>
      </c>
      <c r="AC33" s="7">
        <f t="shared" si="14"/>
        <v>92058.549122070894</v>
      </c>
      <c r="AD33" s="7">
        <f t="shared" si="14"/>
        <v>92058.549122070894</v>
      </c>
      <c r="AE33" s="7">
        <f t="shared" si="14"/>
        <v>92058.549122070894</v>
      </c>
      <c r="AF33" s="7">
        <f t="shared" si="14"/>
        <v>92058.549122070894</v>
      </c>
      <c r="AG33" s="7">
        <f t="shared" si="14"/>
        <v>92058.549122070894</v>
      </c>
      <c r="AH33" s="7">
        <f t="shared" si="14"/>
        <v>92058.549122070894</v>
      </c>
      <c r="AI33" s="7">
        <f t="shared" si="14"/>
        <v>92058.549122070894</v>
      </c>
      <c r="AJ33" s="7">
        <f t="shared" si="14"/>
        <v>92058.549122070894</v>
      </c>
      <c r="AK33" s="7">
        <f t="shared" si="14"/>
        <v>92058.549122070894</v>
      </c>
      <c r="AL33" s="7">
        <f t="shared" si="14"/>
        <v>92058.549122070894</v>
      </c>
      <c r="AM33" s="7">
        <f t="shared" si="14"/>
        <v>92058.549122070894</v>
      </c>
      <c r="AN33" s="7">
        <f t="shared" si="14"/>
        <v>92058.549122070894</v>
      </c>
      <c r="AO33" s="7">
        <f t="shared" si="14"/>
        <v>92058.549122070894</v>
      </c>
      <c r="AP33" s="7">
        <f t="shared" si="14"/>
        <v>92058.549122070894</v>
      </c>
      <c r="AQ33" s="7">
        <f t="shared" si="14"/>
        <v>92058.549122070894</v>
      </c>
      <c r="AR33" s="7">
        <f t="shared" si="14"/>
        <v>92058.549122070894</v>
      </c>
      <c r="AS33" s="7">
        <f t="shared" si="14"/>
        <v>92058.549122070894</v>
      </c>
      <c r="AT33" s="7">
        <f t="shared" si="14"/>
        <v>92058.549122070894</v>
      </c>
      <c r="AU33" s="7">
        <f t="shared" si="14"/>
        <v>92058.549122070894</v>
      </c>
      <c r="AV33" s="7">
        <f t="shared" si="14"/>
        <v>92058.549122070894</v>
      </c>
      <c r="AW33" s="7">
        <f t="shared" si="14"/>
        <v>92058.549122070894</v>
      </c>
      <c r="AX33" s="7">
        <f t="shared" si="14"/>
        <v>92058.549122070894</v>
      </c>
      <c r="AY33" s="7">
        <f t="shared" si="14"/>
        <v>92058.549122070894</v>
      </c>
      <c r="AZ33" s="7">
        <f t="shared" si="14"/>
        <v>92058.549122070894</v>
      </c>
      <c r="BA33" s="7">
        <f t="shared" si="14"/>
        <v>92058.549122070894</v>
      </c>
    </row>
    <row r="34" spans="2:53">
      <c r="B34" s="83" t="s">
        <v>26</v>
      </c>
      <c r="C34" s="84"/>
      <c r="D34" s="51"/>
      <c r="E34" s="52"/>
      <c r="F34" s="52"/>
      <c r="G34" s="52"/>
      <c r="H34" s="53"/>
      <c r="I34" s="7">
        <f>'3-benefits - Agric. Sector'!K29</f>
        <v>7654418.1006820202</v>
      </c>
      <c r="J34" s="7">
        <f t="shared" si="12"/>
        <v>7654418.1006820202</v>
      </c>
      <c r="K34" s="7">
        <f t="shared" si="14"/>
        <v>7654418.1006820202</v>
      </c>
      <c r="L34" s="7">
        <f t="shared" si="14"/>
        <v>7654418.1006820202</v>
      </c>
      <c r="M34" s="7">
        <f t="shared" si="14"/>
        <v>7654418.1006820202</v>
      </c>
      <c r="N34" s="264">
        <f>'3-benefits - Agric. Sector'!K79</f>
        <v>15308836.20136404</v>
      </c>
      <c r="O34" s="7">
        <f t="shared" si="14"/>
        <v>15308836.20136404</v>
      </c>
      <c r="P34" s="7">
        <f t="shared" si="14"/>
        <v>15308836.20136404</v>
      </c>
      <c r="Q34" s="7">
        <f t="shared" si="14"/>
        <v>15308836.20136404</v>
      </c>
      <c r="R34" s="7">
        <f t="shared" si="14"/>
        <v>15308836.20136404</v>
      </c>
      <c r="S34" s="7">
        <f t="shared" si="14"/>
        <v>15308836.20136404</v>
      </c>
      <c r="T34" s="7">
        <f t="shared" si="14"/>
        <v>15308836.20136404</v>
      </c>
      <c r="U34" s="7">
        <f t="shared" si="14"/>
        <v>15308836.20136404</v>
      </c>
      <c r="V34" s="7">
        <f t="shared" si="14"/>
        <v>15308836.20136404</v>
      </c>
      <c r="W34" s="7">
        <f t="shared" si="14"/>
        <v>15308836.20136404</v>
      </c>
      <c r="X34" s="264">
        <f>'3-benefits - Agric. Sector'!K127</f>
        <v>22963254.302046061</v>
      </c>
      <c r="Y34" s="7">
        <f t="shared" si="14"/>
        <v>22963254.302046061</v>
      </c>
      <c r="Z34" s="7">
        <f t="shared" si="14"/>
        <v>22963254.302046061</v>
      </c>
      <c r="AA34" s="7">
        <f t="shared" si="14"/>
        <v>22963254.302046061</v>
      </c>
      <c r="AB34" s="7">
        <f t="shared" si="14"/>
        <v>22963254.302046061</v>
      </c>
      <c r="AC34" s="7">
        <f t="shared" si="14"/>
        <v>22963254.302046061</v>
      </c>
      <c r="AD34" s="7">
        <f t="shared" si="14"/>
        <v>22963254.302046061</v>
      </c>
      <c r="AE34" s="7">
        <f t="shared" si="14"/>
        <v>22963254.302046061</v>
      </c>
      <c r="AF34" s="7">
        <f t="shared" si="14"/>
        <v>22963254.302046061</v>
      </c>
      <c r="AG34" s="7">
        <f t="shared" si="14"/>
        <v>22963254.302046061</v>
      </c>
      <c r="AH34" s="7">
        <f t="shared" si="14"/>
        <v>22963254.302046061</v>
      </c>
      <c r="AI34" s="7">
        <f t="shared" si="14"/>
        <v>22963254.302046061</v>
      </c>
      <c r="AJ34" s="7">
        <f t="shared" si="14"/>
        <v>22963254.302046061</v>
      </c>
      <c r="AK34" s="7">
        <f t="shared" si="14"/>
        <v>22963254.302046061</v>
      </c>
      <c r="AL34" s="7">
        <f t="shared" si="14"/>
        <v>22963254.302046061</v>
      </c>
      <c r="AM34" s="7">
        <f t="shared" si="14"/>
        <v>22963254.302046061</v>
      </c>
      <c r="AN34" s="7">
        <f t="shared" si="14"/>
        <v>22963254.302046061</v>
      </c>
      <c r="AO34" s="7">
        <f t="shared" si="14"/>
        <v>22963254.302046061</v>
      </c>
      <c r="AP34" s="7">
        <f t="shared" si="14"/>
        <v>22963254.302046061</v>
      </c>
      <c r="AQ34" s="7">
        <f t="shared" si="14"/>
        <v>22963254.302046061</v>
      </c>
      <c r="AR34" s="7">
        <f t="shared" si="14"/>
        <v>22963254.302046061</v>
      </c>
      <c r="AS34" s="7">
        <f t="shared" si="14"/>
        <v>22963254.302046061</v>
      </c>
      <c r="AT34" s="7">
        <f t="shared" si="14"/>
        <v>22963254.302046061</v>
      </c>
      <c r="AU34" s="7">
        <f t="shared" si="14"/>
        <v>22963254.302046061</v>
      </c>
      <c r="AV34" s="7">
        <f t="shared" si="14"/>
        <v>22963254.302046061</v>
      </c>
      <c r="AW34" s="7">
        <f t="shared" si="14"/>
        <v>22963254.302046061</v>
      </c>
      <c r="AX34" s="7">
        <f t="shared" si="14"/>
        <v>22963254.302046061</v>
      </c>
      <c r="AY34" s="7">
        <f t="shared" si="14"/>
        <v>22963254.302046061</v>
      </c>
      <c r="AZ34" s="7">
        <f t="shared" si="14"/>
        <v>22963254.302046061</v>
      </c>
      <c r="BA34" s="7">
        <f t="shared" si="14"/>
        <v>22963254.302046061</v>
      </c>
    </row>
    <row r="35" spans="2:53" ht="15" thickBot="1">
      <c r="B35" s="85" t="s">
        <v>52</v>
      </c>
      <c r="C35" s="86"/>
      <c r="D35" s="87">
        <f t="shared" ref="D35:H35" si="15">SUM(D26:D34)</f>
        <v>0</v>
      </c>
      <c r="E35" s="88">
        <f t="shared" si="15"/>
        <v>0</v>
      </c>
      <c r="F35" s="88">
        <f t="shared" si="15"/>
        <v>0</v>
      </c>
      <c r="G35" s="88">
        <f t="shared" si="15"/>
        <v>0</v>
      </c>
      <c r="H35" s="89">
        <f t="shared" si="15"/>
        <v>0</v>
      </c>
      <c r="I35" s="90">
        <f>SUM(I26:I34)</f>
        <v>43950653.263861328</v>
      </c>
      <c r="J35" s="91">
        <f t="shared" ref="J35:BA35" si="16">SUM(J26:J34)</f>
        <v>43950653.263861328</v>
      </c>
      <c r="K35" s="91">
        <f t="shared" si="16"/>
        <v>43950653.263861328</v>
      </c>
      <c r="L35" s="91">
        <f t="shared" si="16"/>
        <v>43950653.263861328</v>
      </c>
      <c r="M35" s="91">
        <f t="shared" si="16"/>
        <v>43950653.263861328</v>
      </c>
      <c r="N35" s="91">
        <f t="shared" si="16"/>
        <v>73862866.699222654</v>
      </c>
      <c r="O35" s="91">
        <f t="shared" si="16"/>
        <v>73862866.699222654</v>
      </c>
      <c r="P35" s="91">
        <f t="shared" si="16"/>
        <v>73862866.699222654</v>
      </c>
      <c r="Q35" s="91">
        <f t="shared" si="16"/>
        <v>73862866.699222654</v>
      </c>
      <c r="R35" s="91">
        <f t="shared" si="16"/>
        <v>73862866.699222654</v>
      </c>
      <c r="S35" s="91">
        <f t="shared" si="16"/>
        <v>73862866.699222654</v>
      </c>
      <c r="T35" s="91">
        <f t="shared" si="16"/>
        <v>73862866.699222654</v>
      </c>
      <c r="U35" s="91">
        <f t="shared" si="16"/>
        <v>73862866.699222654</v>
      </c>
      <c r="V35" s="91">
        <f t="shared" si="16"/>
        <v>73862866.699222654</v>
      </c>
      <c r="W35" s="91">
        <f t="shared" si="16"/>
        <v>73862866.699222654</v>
      </c>
      <c r="X35" s="91">
        <f t="shared" si="16"/>
        <v>103775080.13458396</v>
      </c>
      <c r="Y35" s="91">
        <f t="shared" si="16"/>
        <v>103775080.13458396</v>
      </c>
      <c r="Z35" s="91">
        <f t="shared" si="16"/>
        <v>103775080.13458396</v>
      </c>
      <c r="AA35" s="91">
        <f t="shared" si="16"/>
        <v>103775080.13458396</v>
      </c>
      <c r="AB35" s="91">
        <f t="shared" si="16"/>
        <v>103775080.13458396</v>
      </c>
      <c r="AC35" s="91">
        <f t="shared" si="16"/>
        <v>103775080.13458396</v>
      </c>
      <c r="AD35" s="91">
        <f t="shared" si="16"/>
        <v>103775080.13458396</v>
      </c>
      <c r="AE35" s="91">
        <f t="shared" si="16"/>
        <v>103775080.13458396</v>
      </c>
      <c r="AF35" s="91">
        <f t="shared" si="16"/>
        <v>103775080.13458396</v>
      </c>
      <c r="AG35" s="91">
        <f t="shared" si="16"/>
        <v>103775080.13458396</v>
      </c>
      <c r="AH35" s="91">
        <f t="shared" si="16"/>
        <v>103775080.13458396</v>
      </c>
      <c r="AI35" s="91">
        <f t="shared" si="16"/>
        <v>103775080.13458396</v>
      </c>
      <c r="AJ35" s="91">
        <f t="shared" si="16"/>
        <v>103775080.13458396</v>
      </c>
      <c r="AK35" s="91">
        <f t="shared" si="16"/>
        <v>103775080.13458396</v>
      </c>
      <c r="AL35" s="91">
        <f t="shared" si="16"/>
        <v>103775080.13458396</v>
      </c>
      <c r="AM35" s="91">
        <f t="shared" si="16"/>
        <v>103775080.13458396</v>
      </c>
      <c r="AN35" s="91">
        <f t="shared" si="16"/>
        <v>103775080.13458396</v>
      </c>
      <c r="AO35" s="91">
        <f t="shared" si="16"/>
        <v>103775080.13458396</v>
      </c>
      <c r="AP35" s="91">
        <f t="shared" si="16"/>
        <v>103775080.13458396</v>
      </c>
      <c r="AQ35" s="91">
        <f t="shared" si="16"/>
        <v>103775080.13458396</v>
      </c>
      <c r="AR35" s="91">
        <f t="shared" si="16"/>
        <v>103775080.13458396</v>
      </c>
      <c r="AS35" s="91">
        <f t="shared" si="16"/>
        <v>103775080.13458396</v>
      </c>
      <c r="AT35" s="91">
        <f t="shared" si="16"/>
        <v>103775080.13458396</v>
      </c>
      <c r="AU35" s="91">
        <f t="shared" si="16"/>
        <v>103775080.13458396</v>
      </c>
      <c r="AV35" s="91">
        <f t="shared" si="16"/>
        <v>103775080.13458396</v>
      </c>
      <c r="AW35" s="91">
        <f t="shared" si="16"/>
        <v>103775080.13458396</v>
      </c>
      <c r="AX35" s="91">
        <f t="shared" si="16"/>
        <v>103775080.13458396</v>
      </c>
      <c r="AY35" s="91">
        <f t="shared" si="16"/>
        <v>103775080.13458396</v>
      </c>
      <c r="AZ35" s="91">
        <f t="shared" si="16"/>
        <v>103775080.13458396</v>
      </c>
      <c r="BA35" s="91">
        <f t="shared" si="16"/>
        <v>103775080.13458396</v>
      </c>
    </row>
    <row r="36" spans="2:53" ht="15" thickBot="1">
      <c r="B36" s="92" t="s">
        <v>71</v>
      </c>
      <c r="C36" s="93"/>
      <c r="D36" s="94">
        <f>D35-D22</f>
        <v>-13776500</v>
      </c>
      <c r="E36" s="94">
        <f t="shared" ref="E36:AI36" si="17">E35-E22</f>
        <v>-37810500</v>
      </c>
      <c r="F36" s="94">
        <f t="shared" si="17"/>
        <v>-14373500</v>
      </c>
      <c r="G36" s="94">
        <f t="shared" si="17"/>
        <v>-7086000</v>
      </c>
      <c r="H36" s="95">
        <f t="shared" si="17"/>
        <v>-5014000</v>
      </c>
      <c r="I36" s="41">
        <f t="shared" si="17"/>
        <v>41341653.263861328</v>
      </c>
      <c r="J36" s="42">
        <f t="shared" si="17"/>
        <v>41134789.53524413</v>
      </c>
      <c r="K36" s="42">
        <f t="shared" si="17"/>
        <v>40917154.806125931</v>
      </c>
      <c r="L36" s="42">
        <f t="shared" si="17"/>
        <v>41262597.954861328</v>
      </c>
      <c r="M36" s="42">
        <f t="shared" si="17"/>
        <v>41235717.401771329</v>
      </c>
      <c r="N36" s="42">
        <f t="shared" si="17"/>
        <v>71120781.478511751</v>
      </c>
      <c r="O36" s="42">
        <f t="shared" si="17"/>
        <v>70903365.620733917</v>
      </c>
      <c r="P36" s="42">
        <f t="shared" si="17"/>
        <v>65602756.844354354</v>
      </c>
      <c r="Q36" s="42">
        <f t="shared" si="17"/>
        <v>58216896.855653837</v>
      </c>
      <c r="R36" s="42">
        <f t="shared" si="17"/>
        <v>68126930.386528611</v>
      </c>
      <c r="S36" s="42">
        <f t="shared" si="17"/>
        <v>70649520.936401457</v>
      </c>
      <c r="T36" s="42">
        <f t="shared" si="17"/>
        <v>70421014.684825838</v>
      </c>
      <c r="U36" s="42">
        <f t="shared" si="17"/>
        <v>69808449.99845314</v>
      </c>
      <c r="V36" s="42">
        <f t="shared" si="17"/>
        <v>70136629.571670964</v>
      </c>
      <c r="W36" s="42">
        <f t="shared" si="17"/>
        <v>70863888.476885691</v>
      </c>
      <c r="X36" s="42">
        <f t="shared" si="17"/>
        <v>100546425.46969999</v>
      </c>
      <c r="Y36" s="42">
        <f t="shared" si="17"/>
        <v>100505949.76310699</v>
      </c>
      <c r="Z36" s="42">
        <f t="shared" si="17"/>
        <v>88117272.46166791</v>
      </c>
      <c r="AA36" s="42">
        <f t="shared" si="17"/>
        <v>100444458.68364641</v>
      </c>
      <c r="AB36" s="42">
        <f t="shared" si="17"/>
        <v>94646457.997582495</v>
      </c>
      <c r="AC36" s="42">
        <f t="shared" si="17"/>
        <v>86487252.578972012</v>
      </c>
      <c r="AD36" s="42">
        <f t="shared" si="17"/>
        <v>97587052.623971879</v>
      </c>
      <c r="AE36" s="42">
        <f t="shared" si="17"/>
        <v>99951686.757638365</v>
      </c>
      <c r="AF36" s="42">
        <f t="shared" si="17"/>
        <v>99908506.504585549</v>
      </c>
      <c r="AG36" s="42">
        <f t="shared" si="17"/>
        <v>100462342.43656421</v>
      </c>
      <c r="AH36" s="42">
        <f t="shared" si="17"/>
        <v>100208636.75644104</v>
      </c>
      <c r="AI36" s="42">
        <f t="shared" si="17"/>
        <v>100163926.39539674</v>
      </c>
      <c r="AJ36" s="42">
        <f t="shared" ref="AJ36:BA36" si="18">AJ35-AJ22</f>
        <v>100141384.86843354</v>
      </c>
      <c r="AK36" s="42">
        <f t="shared" si="18"/>
        <v>98970326.489382416</v>
      </c>
      <c r="AL36" s="42">
        <f t="shared" si="18"/>
        <v>99509943.467913717</v>
      </c>
      <c r="AM36" s="42">
        <f t="shared" si="18"/>
        <v>99460071.198630646</v>
      </c>
      <c r="AN36" s="42">
        <f t="shared" si="18"/>
        <v>90717087.157599956</v>
      </c>
      <c r="AO36" s="42">
        <f t="shared" si="18"/>
        <v>84665664.863445804</v>
      </c>
      <c r="AP36" s="42">
        <f t="shared" si="18"/>
        <v>96868258.799422711</v>
      </c>
      <c r="AQ36" s="42">
        <f t="shared" si="18"/>
        <v>99479572.089630425</v>
      </c>
      <c r="AR36" s="42">
        <f t="shared" si="18"/>
        <v>99431153.195461139</v>
      </c>
      <c r="AS36" s="42">
        <f t="shared" si="18"/>
        <v>99786119.816016361</v>
      </c>
      <c r="AT36" s="42">
        <f t="shared" si="18"/>
        <v>87193262.535128191</v>
      </c>
      <c r="AU36" s="42">
        <f t="shared" si="18"/>
        <v>99711089.013312906</v>
      </c>
      <c r="AV36" s="42">
        <f t="shared" si="18"/>
        <v>99685438.835861772</v>
      </c>
      <c r="AW36" s="42">
        <f t="shared" si="18"/>
        <v>99634550.091475129</v>
      </c>
      <c r="AX36" s="42">
        <f t="shared" si="18"/>
        <v>99582642.750319317</v>
      </c>
      <c r="AY36" s="42">
        <f t="shared" si="18"/>
        <v>99556472.737308398</v>
      </c>
      <c r="AZ36" s="42">
        <f t="shared" si="18"/>
        <v>92332729.832238883</v>
      </c>
      <c r="BA36" s="42">
        <f t="shared" si="18"/>
        <v>81337660.162390113</v>
      </c>
    </row>
    <row r="37" spans="2:53" ht="15" thickBot="1"/>
    <row r="38" spans="2:53" ht="29">
      <c r="B38" s="265" t="s">
        <v>18</v>
      </c>
      <c r="C38" s="266" t="s">
        <v>54</v>
      </c>
    </row>
    <row r="39" spans="2:53">
      <c r="B39" s="267">
        <v>0.05</v>
      </c>
      <c r="C39" s="268">
        <f>NPV(B39,$D$36:$BA$36)/1000000</f>
        <v>955.80817203689105</v>
      </c>
    </row>
    <row r="40" spans="2:53">
      <c r="B40" s="267">
        <v>0.08</v>
      </c>
      <c r="C40" s="268">
        <f>NPV(B40,$D$36:$BA$36)/1000000</f>
        <v>493.49074779853265</v>
      </c>
    </row>
    <row r="41" spans="2:53">
      <c r="B41" s="267">
        <v>0.1</v>
      </c>
      <c r="C41" s="268">
        <f t="shared" ref="C41:C43" si="19">NPV(B41,$D$36:$BA$36)/1000000</f>
        <v>332.31464866207068</v>
      </c>
    </row>
    <row r="42" spans="2:53">
      <c r="B42" s="267">
        <v>0.15</v>
      </c>
      <c r="C42" s="268">
        <f t="shared" si="19"/>
        <v>135.78722133316523</v>
      </c>
    </row>
    <row r="43" spans="2:53" ht="15" thickBot="1">
      <c r="B43" s="269">
        <v>0.2</v>
      </c>
      <c r="C43" s="270">
        <f t="shared" si="19"/>
        <v>56.88704288094651</v>
      </c>
    </row>
  </sheetData>
  <mergeCells count="1">
    <mergeCell ref="D5:H5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E09F-82C5-4394-A841-63C042174931}">
  <dimension ref="B4:K49"/>
  <sheetViews>
    <sheetView zoomScale="85" zoomScaleNormal="85" workbookViewId="0">
      <selection activeCell="M38" sqref="M38"/>
    </sheetView>
  </sheetViews>
  <sheetFormatPr defaultColWidth="11.453125" defaultRowHeight="14.5"/>
  <cols>
    <col min="1" max="1" width="10.1796875" style="31" customWidth="1"/>
    <col min="2" max="2" width="25" style="31" customWidth="1"/>
    <col min="3" max="3" width="31.1796875" style="31" customWidth="1"/>
    <col min="4" max="5" width="15" style="31" bestFit="1" customWidth="1"/>
    <col min="6" max="6" width="14" style="31" bestFit="1" customWidth="1"/>
    <col min="7" max="10" width="14.81640625" style="31" bestFit="1" customWidth="1"/>
    <col min="11" max="16384" width="11.453125" style="31"/>
  </cols>
  <sheetData>
    <row r="4" spans="2:11">
      <c r="B4" s="96" t="s">
        <v>16</v>
      </c>
    </row>
    <row r="5" spans="2:11" ht="34.5">
      <c r="B5" s="97" t="s">
        <v>4</v>
      </c>
      <c r="C5" s="97" t="s">
        <v>5</v>
      </c>
      <c r="D5" s="292" t="s">
        <v>6</v>
      </c>
      <c r="E5" s="195">
        <v>0.1</v>
      </c>
      <c r="F5" s="195">
        <v>0.04</v>
      </c>
      <c r="G5" s="195">
        <v>0.02</v>
      </c>
      <c r="H5" s="195">
        <v>0.01</v>
      </c>
      <c r="I5" s="195">
        <v>4.0000000000000001E-3</v>
      </c>
      <c r="J5" s="195">
        <v>2E-3</v>
      </c>
    </row>
    <row r="6" spans="2:11">
      <c r="B6" s="294" t="s">
        <v>7</v>
      </c>
      <c r="C6" s="295"/>
      <c r="D6" s="293"/>
      <c r="E6" s="97">
        <v>10</v>
      </c>
      <c r="F6" s="97">
        <v>25</v>
      </c>
      <c r="G6" s="97">
        <v>50</v>
      </c>
      <c r="H6" s="97">
        <v>100</v>
      </c>
      <c r="I6" s="97">
        <v>250</v>
      </c>
      <c r="J6" s="97">
        <v>500</v>
      </c>
      <c r="K6" s="98"/>
    </row>
    <row r="7" spans="2:11">
      <c r="B7" s="99" t="s">
        <v>14</v>
      </c>
      <c r="C7" s="99"/>
      <c r="D7" s="99"/>
      <c r="E7" s="99"/>
      <c r="F7" s="99"/>
      <c r="G7" s="99"/>
      <c r="H7" s="99"/>
      <c r="I7" s="99"/>
      <c r="J7" s="99"/>
    </row>
    <row r="8" spans="2:11">
      <c r="B8" s="296" t="s">
        <v>8</v>
      </c>
      <c r="C8" s="100" t="s">
        <v>13</v>
      </c>
      <c r="D8" s="100">
        <v>5.7</v>
      </c>
      <c r="E8" s="100">
        <v>8.4</v>
      </c>
      <c r="F8" s="100">
        <v>12.5</v>
      </c>
      <c r="G8" s="100">
        <v>18.100000000000001</v>
      </c>
      <c r="H8" s="100">
        <v>48.4</v>
      </c>
      <c r="I8" s="100">
        <v>148</v>
      </c>
      <c r="J8" s="100">
        <v>258.7</v>
      </c>
    </row>
    <row r="9" spans="2:11">
      <c r="B9" s="297"/>
      <c r="C9" s="101" t="s">
        <v>12</v>
      </c>
      <c r="D9" s="101">
        <v>1.3</v>
      </c>
      <c r="E9" s="101">
        <v>1.9</v>
      </c>
      <c r="F9" s="101">
        <v>2.8</v>
      </c>
      <c r="G9" s="101">
        <v>4</v>
      </c>
      <c r="H9" s="101">
        <v>11.1</v>
      </c>
      <c r="I9" s="101">
        <v>34</v>
      </c>
      <c r="J9" s="101">
        <v>59.5</v>
      </c>
    </row>
    <row r="10" spans="2:11">
      <c r="B10" s="296" t="s">
        <v>9</v>
      </c>
      <c r="C10" s="100" t="s">
        <v>13</v>
      </c>
      <c r="D10" s="100">
        <v>101.9</v>
      </c>
      <c r="E10" s="100">
        <v>244.4</v>
      </c>
      <c r="F10" s="100">
        <v>446.8</v>
      </c>
      <c r="G10" s="100">
        <v>600.9</v>
      </c>
      <c r="H10" s="100">
        <v>826.7</v>
      </c>
      <c r="I10" s="100">
        <v>1176.2</v>
      </c>
      <c r="J10" s="100">
        <v>1745</v>
      </c>
    </row>
    <row r="11" spans="2:11">
      <c r="B11" s="297"/>
      <c r="C11" s="101" t="s">
        <v>12</v>
      </c>
      <c r="D11" s="101">
        <v>23.3</v>
      </c>
      <c r="E11" s="101">
        <v>56</v>
      </c>
      <c r="F11" s="101">
        <v>102.6</v>
      </c>
      <c r="G11" s="101">
        <v>138.19999999999999</v>
      </c>
      <c r="H11" s="101">
        <v>189</v>
      </c>
      <c r="I11" s="101">
        <v>270.5</v>
      </c>
      <c r="J11" s="101">
        <v>401.4</v>
      </c>
    </row>
    <row r="12" spans="2:11">
      <c r="B12" s="296" t="s">
        <v>10</v>
      </c>
      <c r="C12" s="100" t="s">
        <v>13</v>
      </c>
      <c r="D12" s="100">
        <v>113.2</v>
      </c>
      <c r="E12" s="100">
        <v>145.19999999999999</v>
      </c>
      <c r="F12" s="100">
        <v>356.8</v>
      </c>
      <c r="G12" s="100">
        <v>800.6</v>
      </c>
      <c r="H12" s="100">
        <v>1906.5</v>
      </c>
      <c r="I12" s="100">
        <v>3642.3</v>
      </c>
      <c r="J12" s="100">
        <v>5730.4</v>
      </c>
    </row>
    <row r="13" spans="2:11">
      <c r="B13" s="297"/>
      <c r="C13" s="101" t="s">
        <v>12</v>
      </c>
      <c r="D13" s="101">
        <v>26</v>
      </c>
      <c r="E13" s="101">
        <v>33.4</v>
      </c>
      <c r="F13" s="101">
        <v>82.1</v>
      </c>
      <c r="G13" s="101">
        <v>184.1</v>
      </c>
      <c r="H13" s="101">
        <v>438.5</v>
      </c>
      <c r="I13" s="101">
        <v>837.7</v>
      </c>
      <c r="J13" s="101">
        <v>1318</v>
      </c>
    </row>
    <row r="14" spans="2:11">
      <c r="B14" s="296" t="s">
        <v>11</v>
      </c>
      <c r="C14" s="100" t="s">
        <v>13</v>
      </c>
      <c r="D14" s="100">
        <v>2.8</v>
      </c>
      <c r="E14" s="100">
        <v>8.6</v>
      </c>
      <c r="F14" s="100">
        <v>12.2</v>
      </c>
      <c r="G14" s="100">
        <v>14.8</v>
      </c>
      <c r="H14" s="100">
        <v>17.899999999999999</v>
      </c>
      <c r="I14" s="100">
        <v>21</v>
      </c>
      <c r="J14" s="100">
        <v>23.4</v>
      </c>
    </row>
    <row r="15" spans="2:11">
      <c r="B15" s="297"/>
      <c r="C15" s="101" t="s">
        <v>12</v>
      </c>
      <c r="D15" s="101">
        <v>0.6</v>
      </c>
      <c r="E15" s="101">
        <v>2</v>
      </c>
      <c r="F15" s="101">
        <v>2.8</v>
      </c>
      <c r="G15" s="101">
        <v>3.4</v>
      </c>
      <c r="H15" s="101">
        <v>4.0999999999999996</v>
      </c>
      <c r="I15" s="101">
        <v>4.8</v>
      </c>
      <c r="J15" s="101">
        <v>5.4</v>
      </c>
    </row>
    <row r="16" spans="2:11">
      <c r="C16" s="102" t="s">
        <v>15</v>
      </c>
      <c r="D16" s="99">
        <f t="shared" ref="D16:J16" si="0">SUM(D8:D15)</f>
        <v>274.80000000000007</v>
      </c>
      <c r="E16" s="99">
        <f t="shared" si="0"/>
        <v>499.90000000000003</v>
      </c>
      <c r="F16" s="99">
        <f t="shared" si="0"/>
        <v>1018.6</v>
      </c>
      <c r="G16" s="99">
        <f t="shared" si="0"/>
        <v>1764.1000000000001</v>
      </c>
      <c r="H16" s="99">
        <f t="shared" si="0"/>
        <v>3442.2</v>
      </c>
      <c r="I16" s="99">
        <f t="shared" si="0"/>
        <v>6134.5</v>
      </c>
      <c r="J16" s="99">
        <f t="shared" si="0"/>
        <v>9541.7999999999993</v>
      </c>
    </row>
    <row r="17" spans="2:11">
      <c r="B17" s="103"/>
      <c r="C17" s="100" t="s">
        <v>12</v>
      </c>
      <c r="D17" s="100">
        <f>D8+D10+D12+D14</f>
        <v>223.60000000000002</v>
      </c>
      <c r="E17" s="100">
        <f t="shared" ref="E17:J17" si="1">E8+E10+E12+E14</f>
        <v>406.6</v>
      </c>
      <c r="F17" s="100">
        <f t="shared" si="1"/>
        <v>828.30000000000007</v>
      </c>
      <c r="G17" s="100">
        <f t="shared" si="1"/>
        <v>1434.3999999999999</v>
      </c>
      <c r="H17" s="100">
        <f t="shared" si="1"/>
        <v>2799.5</v>
      </c>
      <c r="I17" s="100">
        <f t="shared" si="1"/>
        <v>4987.5</v>
      </c>
      <c r="J17" s="100">
        <f t="shared" si="1"/>
        <v>7757.4999999999991</v>
      </c>
    </row>
    <row r="18" spans="2:11">
      <c r="C18" s="101" t="s">
        <v>12</v>
      </c>
      <c r="D18" s="101">
        <f>D9+D11+D13+D15</f>
        <v>51.2</v>
      </c>
      <c r="E18" s="101">
        <f t="shared" ref="E18:J18" si="2">E9+E11+E13+E15</f>
        <v>93.3</v>
      </c>
      <c r="F18" s="101">
        <f t="shared" si="2"/>
        <v>190.3</v>
      </c>
      <c r="G18" s="101">
        <f t="shared" si="2"/>
        <v>329.69999999999993</v>
      </c>
      <c r="H18" s="101">
        <f t="shared" si="2"/>
        <v>642.70000000000005</v>
      </c>
      <c r="I18" s="101">
        <f t="shared" si="2"/>
        <v>1147</v>
      </c>
      <c r="J18" s="101">
        <f t="shared" si="2"/>
        <v>1784.3000000000002</v>
      </c>
    </row>
    <row r="19" spans="2:11" ht="34.5">
      <c r="B19" s="97" t="s">
        <v>4</v>
      </c>
      <c r="C19" s="97" t="s">
        <v>5</v>
      </c>
      <c r="D19" s="292" t="s">
        <v>6</v>
      </c>
      <c r="E19" s="97">
        <v>0.1</v>
      </c>
      <c r="F19" s="97">
        <v>0.04</v>
      </c>
      <c r="G19" s="97">
        <v>0.02</v>
      </c>
      <c r="H19" s="97">
        <v>0.01</v>
      </c>
      <c r="I19" s="97">
        <v>4.0000000000000001E-3</v>
      </c>
      <c r="J19" s="97">
        <v>2E-3</v>
      </c>
    </row>
    <row r="20" spans="2:11">
      <c r="B20" s="294" t="s">
        <v>7</v>
      </c>
      <c r="C20" s="295"/>
      <c r="D20" s="293"/>
      <c r="E20" s="97">
        <v>10</v>
      </c>
      <c r="F20" s="97">
        <v>25</v>
      </c>
      <c r="G20" s="97">
        <v>50</v>
      </c>
      <c r="H20" s="97">
        <v>100</v>
      </c>
      <c r="I20" s="97">
        <v>250</v>
      </c>
      <c r="J20" s="97">
        <v>500</v>
      </c>
      <c r="K20" s="98"/>
    </row>
    <row r="21" spans="2:11">
      <c r="B21" s="99" t="s">
        <v>14</v>
      </c>
      <c r="C21" s="99"/>
      <c r="D21" s="99"/>
      <c r="E21" s="99"/>
      <c r="F21" s="99"/>
      <c r="G21" s="99"/>
      <c r="H21" s="99"/>
      <c r="I21" s="99"/>
      <c r="J21" s="99"/>
    </row>
    <row r="22" spans="2:11">
      <c r="B22" s="296" t="s">
        <v>8</v>
      </c>
      <c r="C22" s="100" t="s">
        <v>21</v>
      </c>
      <c r="D22" s="100">
        <v>5.6161742600000002</v>
      </c>
      <c r="E22" s="100">
        <v>9.6609279999999984</v>
      </c>
      <c r="F22" s="100">
        <v>15.337816</v>
      </c>
      <c r="G22" s="100">
        <v>22.059345999999998</v>
      </c>
      <c r="H22" s="100">
        <v>52.974576999999996</v>
      </c>
      <c r="I22" s="100">
        <v>159.127228</v>
      </c>
      <c r="J22" s="100">
        <v>270.56913000000003</v>
      </c>
    </row>
    <row r="23" spans="2:11">
      <c r="B23" s="297"/>
      <c r="C23" s="101" t="s">
        <v>12</v>
      </c>
      <c r="D23" s="101">
        <v>0.46122179999999996</v>
      </c>
      <c r="E23" s="101">
        <v>1.1099319999999999</v>
      </c>
      <c r="F23" s="101">
        <v>3.5276974299999999</v>
      </c>
      <c r="G23" s="101">
        <v>5.0736491899999994</v>
      </c>
      <c r="H23" s="101">
        <v>12.184152859999999</v>
      </c>
      <c r="I23" s="101">
        <v>36.599262639999999</v>
      </c>
      <c r="J23" s="101">
        <v>62.230900250000005</v>
      </c>
    </row>
    <row r="24" spans="2:11">
      <c r="B24" s="296" t="s">
        <v>9</v>
      </c>
      <c r="C24" s="100" t="s">
        <v>13</v>
      </c>
      <c r="D24" s="100">
        <v>100.59172346</v>
      </c>
      <c r="E24" s="100">
        <v>255.414062</v>
      </c>
      <c r="F24" s="100">
        <v>491.65034900000001</v>
      </c>
      <c r="G24" s="100">
        <v>668.02197200000001</v>
      </c>
      <c r="H24" s="100">
        <v>928.81181400000003</v>
      </c>
      <c r="I24" s="100">
        <v>1296.2749249999999</v>
      </c>
      <c r="J24" s="100">
        <v>1910.15329</v>
      </c>
    </row>
    <row r="25" spans="2:11">
      <c r="B25" s="297"/>
      <c r="C25" s="101" t="s">
        <v>12</v>
      </c>
      <c r="D25" s="101">
        <v>23.136096809999998</v>
      </c>
      <c r="E25" s="101">
        <v>58.72479826</v>
      </c>
      <c r="F25" s="101">
        <v>113.07247627000001</v>
      </c>
      <c r="G25" s="101">
        <v>154.09505356</v>
      </c>
      <c r="H25" s="101">
        <v>213.63671722000001</v>
      </c>
      <c r="I25" s="101">
        <v>298.64323274999998</v>
      </c>
      <c r="J25" s="101">
        <v>440.13525670000001</v>
      </c>
    </row>
    <row r="26" spans="2:11">
      <c r="B26" s="296" t="s">
        <v>10</v>
      </c>
      <c r="C26" s="100" t="s">
        <v>13</v>
      </c>
      <c r="D26" s="100">
        <v>113.11905193</v>
      </c>
      <c r="E26" s="100">
        <v>160.326043</v>
      </c>
      <c r="F26" s="100">
        <v>429.62358499999999</v>
      </c>
      <c r="G26" s="100">
        <v>883.37069900000006</v>
      </c>
      <c r="H26" s="100">
        <v>2030.4737279999999</v>
      </c>
      <c r="I26" s="100">
        <v>3812.4168239999999</v>
      </c>
      <c r="J26" s="100">
        <v>5905.7552029999997</v>
      </c>
    </row>
    <row r="27" spans="2:11">
      <c r="B27" s="297"/>
      <c r="C27" s="101" t="s">
        <v>12</v>
      </c>
      <c r="D27" s="101">
        <v>5.1585591200000005</v>
      </c>
      <c r="E27" s="101">
        <v>14.485548119999999</v>
      </c>
      <c r="F27" s="101">
        <v>98.813424550000008</v>
      </c>
      <c r="G27" s="101">
        <v>203.17526076999999</v>
      </c>
      <c r="H27" s="101">
        <v>467.00895744000002</v>
      </c>
      <c r="I27" s="101">
        <v>876.85586951999994</v>
      </c>
      <c r="J27" s="101">
        <v>1358.3236966899999</v>
      </c>
    </row>
    <row r="28" spans="2:11">
      <c r="B28" s="296" t="s">
        <v>11</v>
      </c>
      <c r="C28" s="100" t="s">
        <v>13</v>
      </c>
      <c r="D28" s="100">
        <v>2.8010446600000001</v>
      </c>
      <c r="E28" s="100">
        <v>8.2029270000000007</v>
      </c>
      <c r="F28" s="100">
        <v>13.353194</v>
      </c>
      <c r="G28" s="100">
        <v>18.130606</v>
      </c>
      <c r="H28" s="100">
        <v>26.166468999999999</v>
      </c>
      <c r="I28" s="100">
        <v>33.489395000000002</v>
      </c>
      <c r="J28" s="100">
        <v>39.903903999999997</v>
      </c>
    </row>
    <row r="29" spans="2:11">
      <c r="B29" s="297"/>
      <c r="C29" s="101" t="s">
        <v>12</v>
      </c>
      <c r="D29" s="101">
        <v>0.56452340000000001</v>
      </c>
      <c r="E29" s="101">
        <v>1.8205631599999998</v>
      </c>
      <c r="F29" s="101">
        <v>3.0712346199999998</v>
      </c>
      <c r="G29" s="101">
        <v>4.1700393799999995</v>
      </c>
      <c r="H29" s="101">
        <v>6.01828787</v>
      </c>
      <c r="I29" s="101">
        <v>7.7025608499999993</v>
      </c>
      <c r="J29" s="101">
        <v>9.1778979199999995</v>
      </c>
    </row>
    <row r="30" spans="2:11">
      <c r="C30" s="102" t="s">
        <v>15</v>
      </c>
      <c r="D30" s="99">
        <f t="shared" ref="D30:J30" si="3">SUM(D22:D29)</f>
        <v>251.44839544000004</v>
      </c>
      <c r="E30" s="99">
        <f t="shared" si="3"/>
        <v>509.74480153999997</v>
      </c>
      <c r="F30" s="99">
        <f t="shared" si="3"/>
        <v>1168.4497768700001</v>
      </c>
      <c r="G30" s="99">
        <f t="shared" si="3"/>
        <v>1958.0966258999999</v>
      </c>
      <c r="H30" s="99">
        <f t="shared" si="3"/>
        <v>3737.27470339</v>
      </c>
      <c r="I30" s="99">
        <f t="shared" si="3"/>
        <v>6521.1092977599992</v>
      </c>
      <c r="J30" s="99">
        <f t="shared" si="3"/>
        <v>9996.2492785600007</v>
      </c>
    </row>
    <row r="31" spans="2:11">
      <c r="B31" s="103"/>
      <c r="C31" s="100" t="s">
        <v>12</v>
      </c>
      <c r="D31" s="100">
        <f>D22+D24+D26+D28</f>
        <v>222.12799430999999</v>
      </c>
      <c r="E31" s="100">
        <f t="shared" ref="E31:J32" si="4">E22+E24+E26+E28</f>
        <v>433.60395999999997</v>
      </c>
      <c r="F31" s="100">
        <f t="shared" si="4"/>
        <v>949.96494400000006</v>
      </c>
      <c r="G31" s="100">
        <f t="shared" si="4"/>
        <v>1591.582623</v>
      </c>
      <c r="H31" s="100">
        <f t="shared" si="4"/>
        <v>3038.4265879999998</v>
      </c>
      <c r="I31" s="100">
        <f t="shared" si="4"/>
        <v>5301.3083719999995</v>
      </c>
      <c r="J31" s="100">
        <f t="shared" si="4"/>
        <v>8126.3815269999996</v>
      </c>
    </row>
    <row r="32" spans="2:11" ht="15" thickBot="1">
      <c r="C32" s="104" t="s">
        <v>12</v>
      </c>
      <c r="D32" s="101">
        <f>D23+D25+D27+D29</f>
        <v>29.320401129999997</v>
      </c>
      <c r="E32" s="101">
        <f t="shared" si="4"/>
        <v>76.140841540000011</v>
      </c>
      <c r="F32" s="101">
        <f t="shared" si="4"/>
        <v>218.48483287000002</v>
      </c>
      <c r="G32" s="101">
        <f t="shared" si="4"/>
        <v>366.51400289999998</v>
      </c>
      <c r="H32" s="101">
        <f t="shared" si="4"/>
        <v>698.84811538999998</v>
      </c>
      <c r="I32" s="101">
        <f t="shared" si="4"/>
        <v>1219.8009257599999</v>
      </c>
      <c r="J32" s="101">
        <f t="shared" si="4"/>
        <v>1869.86775156</v>
      </c>
    </row>
    <row r="33" spans="2:11">
      <c r="C33" s="105" t="s">
        <v>56</v>
      </c>
    </row>
    <row r="34" spans="2:11">
      <c r="B34" s="106" t="s">
        <v>13</v>
      </c>
      <c r="C34" s="179">
        <v>0.05</v>
      </c>
      <c r="D34" s="31" t="s">
        <v>55</v>
      </c>
    </row>
    <row r="35" spans="2:11" ht="15" thickBot="1">
      <c r="B35" s="107" t="s">
        <v>12</v>
      </c>
      <c r="C35" s="180">
        <v>0.1</v>
      </c>
      <c r="D35" s="31" t="s">
        <v>55</v>
      </c>
    </row>
    <row r="36" spans="2:11" ht="34.5">
      <c r="B36" s="97" t="s">
        <v>4</v>
      </c>
      <c r="C36" s="108" t="s">
        <v>5</v>
      </c>
      <c r="D36" s="292" t="s">
        <v>6</v>
      </c>
      <c r="E36" s="97">
        <v>0.1</v>
      </c>
      <c r="F36" s="97">
        <v>0.04</v>
      </c>
      <c r="G36" s="97">
        <v>0.02</v>
      </c>
      <c r="H36" s="97">
        <v>0.01</v>
      </c>
      <c r="I36" s="97">
        <v>4.0000000000000001E-3</v>
      </c>
      <c r="J36" s="97">
        <v>2E-3</v>
      </c>
    </row>
    <row r="37" spans="2:11">
      <c r="B37" s="294" t="s">
        <v>7</v>
      </c>
      <c r="C37" s="295"/>
      <c r="D37" s="293"/>
      <c r="E37" s="97">
        <v>10</v>
      </c>
      <c r="F37" s="97">
        <v>25</v>
      </c>
      <c r="G37" s="97">
        <v>50</v>
      </c>
      <c r="H37" s="97">
        <v>100</v>
      </c>
      <c r="I37" s="97">
        <v>250</v>
      </c>
      <c r="J37" s="97">
        <v>500</v>
      </c>
      <c r="K37" s="98"/>
    </row>
    <row r="38" spans="2:11">
      <c r="B38" s="109" t="s">
        <v>17</v>
      </c>
      <c r="C38" s="109"/>
      <c r="D38" s="109"/>
      <c r="E38" s="109"/>
      <c r="F38" s="109"/>
      <c r="G38" s="109"/>
      <c r="H38" s="109"/>
      <c r="I38" s="109"/>
      <c r="J38" s="109"/>
    </row>
    <row r="39" spans="2:11">
      <c r="B39" s="296" t="s">
        <v>8</v>
      </c>
      <c r="C39" s="100" t="s">
        <v>20</v>
      </c>
      <c r="D39" s="1">
        <f>D22*$C$34*1000000</f>
        <v>280808.71300000005</v>
      </c>
      <c r="E39" s="1">
        <f t="shared" ref="E39:J39" si="5">E22*$C$34*1000000</f>
        <v>483046.39999999991</v>
      </c>
      <c r="F39" s="1">
        <f t="shared" si="5"/>
        <v>766890.8</v>
      </c>
      <c r="G39" s="1">
        <f t="shared" si="5"/>
        <v>1102967.3</v>
      </c>
      <c r="H39" s="1">
        <f t="shared" si="5"/>
        <v>2648728.85</v>
      </c>
      <c r="I39" s="1">
        <f t="shared" si="5"/>
        <v>7956361.4000000004</v>
      </c>
      <c r="J39" s="1">
        <f t="shared" si="5"/>
        <v>13528456.500000002</v>
      </c>
    </row>
    <row r="40" spans="2:11">
      <c r="B40" s="297"/>
      <c r="C40" s="101" t="s">
        <v>19</v>
      </c>
      <c r="D40" s="2">
        <f>D23*$C$35*1000000</f>
        <v>46122.18</v>
      </c>
      <c r="E40" s="2">
        <f t="shared" ref="E40:J46" si="6">E23*$C$35*1000000</f>
        <v>110993.2</v>
      </c>
      <c r="F40" s="2">
        <f t="shared" si="6"/>
        <v>352769.74300000002</v>
      </c>
      <c r="G40" s="2">
        <f t="shared" si="6"/>
        <v>507364.91899999994</v>
      </c>
      <c r="H40" s="2">
        <f t="shared" si="6"/>
        <v>1218415.2859999998</v>
      </c>
      <c r="I40" s="2">
        <f t="shared" si="6"/>
        <v>3659926.264</v>
      </c>
      <c r="J40" s="2">
        <f t="shared" si="6"/>
        <v>6223090.0250000013</v>
      </c>
    </row>
    <row r="41" spans="2:11">
      <c r="B41" s="296" t="s">
        <v>9</v>
      </c>
      <c r="C41" s="100" t="s">
        <v>20</v>
      </c>
      <c r="D41" s="1">
        <f t="shared" ref="D41:J41" si="7">D24*$C$34*1000000</f>
        <v>5029586.1730000004</v>
      </c>
      <c r="E41" s="1">
        <f t="shared" si="7"/>
        <v>12770703.1</v>
      </c>
      <c r="F41" s="1">
        <f t="shared" si="7"/>
        <v>24582517.449999999</v>
      </c>
      <c r="G41" s="1">
        <f t="shared" si="7"/>
        <v>33401098.600000005</v>
      </c>
      <c r="H41" s="1">
        <f t="shared" si="7"/>
        <v>46440590.700000003</v>
      </c>
      <c r="I41" s="1">
        <f t="shared" si="7"/>
        <v>64813746.249999993</v>
      </c>
      <c r="J41" s="1">
        <f t="shared" si="7"/>
        <v>95507664.5</v>
      </c>
    </row>
    <row r="42" spans="2:11">
      <c r="B42" s="297"/>
      <c r="C42" s="101" t="s">
        <v>19</v>
      </c>
      <c r="D42" s="2">
        <f>D25*$C$35*1000000</f>
        <v>2313609.6809999999</v>
      </c>
      <c r="E42" s="2">
        <f t="shared" si="6"/>
        <v>5872479.8260000004</v>
      </c>
      <c r="F42" s="2">
        <f t="shared" si="6"/>
        <v>11307247.627000002</v>
      </c>
      <c r="G42" s="2">
        <f t="shared" si="6"/>
        <v>15409505.356000001</v>
      </c>
      <c r="H42" s="2">
        <f t="shared" si="6"/>
        <v>21363671.722000003</v>
      </c>
      <c r="I42" s="2">
        <f t="shared" si="6"/>
        <v>29864323.274999999</v>
      </c>
      <c r="J42" s="2">
        <f t="shared" si="6"/>
        <v>44013525.670000009</v>
      </c>
    </row>
    <row r="43" spans="2:11">
      <c r="B43" s="296" t="s">
        <v>10</v>
      </c>
      <c r="C43" s="100" t="s">
        <v>20</v>
      </c>
      <c r="D43" s="1">
        <f t="shared" ref="D43:J43" si="8">D26*$C$34*1000000</f>
        <v>5655952.5965000009</v>
      </c>
      <c r="E43" s="1">
        <f t="shared" si="8"/>
        <v>8016302.1499999994</v>
      </c>
      <c r="F43" s="1">
        <f t="shared" si="8"/>
        <v>21481179.25</v>
      </c>
      <c r="G43" s="1">
        <f t="shared" si="8"/>
        <v>44168534.95000001</v>
      </c>
      <c r="H43" s="1">
        <f t="shared" si="8"/>
        <v>101523686.40000001</v>
      </c>
      <c r="I43" s="1">
        <f t="shared" si="8"/>
        <v>190620841.19999999</v>
      </c>
      <c r="J43" s="1">
        <f t="shared" si="8"/>
        <v>295287760.14999998</v>
      </c>
    </row>
    <row r="44" spans="2:11">
      <c r="B44" s="297"/>
      <c r="C44" s="101" t="s">
        <v>19</v>
      </c>
      <c r="D44" s="2">
        <f>D27*$C$35*1000000</f>
        <v>515855.91200000001</v>
      </c>
      <c r="E44" s="2">
        <f t="shared" si="6"/>
        <v>1448554.8119999999</v>
      </c>
      <c r="F44" s="2">
        <f t="shared" si="6"/>
        <v>9881342.4550000019</v>
      </c>
      <c r="G44" s="2">
        <f t="shared" si="6"/>
        <v>20317526.077</v>
      </c>
      <c r="H44" s="2">
        <f t="shared" si="6"/>
        <v>46700895.74400001</v>
      </c>
      <c r="I44" s="2">
        <f t="shared" si="6"/>
        <v>87685586.951999992</v>
      </c>
      <c r="J44" s="2">
        <f t="shared" si="6"/>
        <v>135832369.669</v>
      </c>
    </row>
    <row r="45" spans="2:11">
      <c r="B45" s="296" t="s">
        <v>11</v>
      </c>
      <c r="C45" s="100" t="s">
        <v>20</v>
      </c>
      <c r="D45" s="1">
        <f t="shared" ref="D45:J45" si="9">D28*$C$34*1000000</f>
        <v>140052.23300000001</v>
      </c>
      <c r="E45" s="1">
        <f t="shared" si="9"/>
        <v>410146.35000000003</v>
      </c>
      <c r="F45" s="1">
        <f t="shared" si="9"/>
        <v>667659.70000000007</v>
      </c>
      <c r="G45" s="1">
        <f t="shared" si="9"/>
        <v>906530.3</v>
      </c>
      <c r="H45" s="1">
        <f t="shared" si="9"/>
        <v>1308323.45</v>
      </c>
      <c r="I45" s="1">
        <f t="shared" si="9"/>
        <v>1674469.75</v>
      </c>
      <c r="J45" s="1">
        <f t="shared" si="9"/>
        <v>1995195.2</v>
      </c>
    </row>
    <row r="46" spans="2:11">
      <c r="B46" s="297"/>
      <c r="C46" s="101" t="s">
        <v>19</v>
      </c>
      <c r="D46" s="2">
        <f>D29*$C$35*1000000</f>
        <v>56452.340000000004</v>
      </c>
      <c r="E46" s="2">
        <f t="shared" si="6"/>
        <v>182056.31599999999</v>
      </c>
      <c r="F46" s="2">
        <f t="shared" si="6"/>
        <v>307123.462</v>
      </c>
      <c r="G46" s="2">
        <f t="shared" si="6"/>
        <v>417003.93799999997</v>
      </c>
      <c r="H46" s="2">
        <f t="shared" si="6"/>
        <v>601828.78700000013</v>
      </c>
      <c r="I46" s="2">
        <f t="shared" si="6"/>
        <v>770256.08499999996</v>
      </c>
      <c r="J46" s="2">
        <f t="shared" si="6"/>
        <v>917789.79200000002</v>
      </c>
    </row>
    <row r="47" spans="2:11">
      <c r="C47" s="102" t="s">
        <v>15</v>
      </c>
      <c r="D47" s="3">
        <f t="shared" ref="D47:J47" si="10">SUM(D39:D46)</f>
        <v>14038439.828500003</v>
      </c>
      <c r="E47" s="3">
        <f t="shared" si="10"/>
        <v>29294282.153999999</v>
      </c>
      <c r="F47" s="3">
        <f t="shared" si="10"/>
        <v>69346730.487000003</v>
      </c>
      <c r="G47" s="3">
        <f t="shared" si="10"/>
        <v>116230531.44000001</v>
      </c>
      <c r="H47" s="3">
        <f t="shared" si="10"/>
        <v>221806140.93900001</v>
      </c>
      <c r="I47" s="3">
        <f t="shared" si="10"/>
        <v>387045511.17599994</v>
      </c>
      <c r="J47" s="3">
        <f t="shared" si="10"/>
        <v>593305851.50600016</v>
      </c>
    </row>
    <row r="48" spans="2:11" s="110" customFormat="1">
      <c r="C48" s="100" t="s">
        <v>20</v>
      </c>
      <c r="D48" s="1">
        <f>SUM(D39+D41+D43+D45)</f>
        <v>11106399.715500001</v>
      </c>
      <c r="E48" s="1">
        <f t="shared" ref="E48:J48" si="11">SUM(E39+E41+E43+E45)</f>
        <v>21680198</v>
      </c>
      <c r="F48" s="1">
        <f t="shared" si="11"/>
        <v>47498247.200000003</v>
      </c>
      <c r="G48" s="1">
        <f t="shared" si="11"/>
        <v>79579131.150000021</v>
      </c>
      <c r="H48" s="1">
        <f t="shared" si="11"/>
        <v>151921329.40000001</v>
      </c>
      <c r="I48" s="1">
        <f t="shared" si="11"/>
        <v>265065418.59999996</v>
      </c>
      <c r="J48" s="1">
        <f t="shared" si="11"/>
        <v>406319076.34999996</v>
      </c>
    </row>
    <row r="49" spans="3:10" s="110" customFormat="1">
      <c r="C49" s="101" t="s">
        <v>19</v>
      </c>
      <c r="D49" s="2">
        <f>SUM(D40+D42+D44+D46)</f>
        <v>2932040.1129999999</v>
      </c>
      <c r="E49" s="2">
        <f t="shared" ref="E49:J49" si="12">SUM(E40+E42+E44+E46)</f>
        <v>7614084.1540000001</v>
      </c>
      <c r="F49" s="2">
        <f t="shared" si="12"/>
        <v>21848483.287000004</v>
      </c>
      <c r="G49" s="2">
        <f t="shared" si="12"/>
        <v>36651400.289999999</v>
      </c>
      <c r="H49" s="2">
        <f t="shared" si="12"/>
        <v>69884811.539000005</v>
      </c>
      <c r="I49" s="2">
        <f t="shared" si="12"/>
        <v>121980092.57599999</v>
      </c>
      <c r="J49" s="2">
        <f t="shared" si="12"/>
        <v>186986775.15600002</v>
      </c>
    </row>
  </sheetData>
  <mergeCells count="18">
    <mergeCell ref="B39:B40"/>
    <mergeCell ref="B41:B42"/>
    <mergeCell ref="B43:B44"/>
    <mergeCell ref="B26:B27"/>
    <mergeCell ref="B45:B46"/>
    <mergeCell ref="B28:B29"/>
    <mergeCell ref="D5:D6"/>
    <mergeCell ref="B6:C6"/>
    <mergeCell ref="B8:B9"/>
    <mergeCell ref="B10:B11"/>
    <mergeCell ref="B12:B13"/>
    <mergeCell ref="D36:D37"/>
    <mergeCell ref="B37:C37"/>
    <mergeCell ref="B14:B15"/>
    <mergeCell ref="D19:D20"/>
    <mergeCell ref="B20:C20"/>
    <mergeCell ref="B22:B23"/>
    <mergeCell ref="B24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3AF6-82BF-4E37-9E18-B9DDB6EDE1D4}">
  <dimension ref="A1:M145"/>
  <sheetViews>
    <sheetView topLeftCell="A127" zoomScaleNormal="100" workbookViewId="0">
      <selection activeCell="L20" sqref="L20:L26"/>
    </sheetView>
  </sheetViews>
  <sheetFormatPr defaultColWidth="11.453125" defaultRowHeight="14.5"/>
  <cols>
    <col min="1" max="1" width="18" style="7" customWidth="1"/>
    <col min="2" max="2" width="27.1796875" style="7" customWidth="1"/>
    <col min="3" max="3" width="21.54296875" style="7" customWidth="1"/>
    <col min="4" max="4" width="18.81640625" style="7" customWidth="1"/>
    <col min="5" max="5" width="20.81640625" style="7" customWidth="1"/>
    <col min="6" max="6" width="18.81640625" style="7" customWidth="1"/>
    <col min="7" max="7" width="5.7265625" style="7" customWidth="1"/>
    <col min="8" max="15" width="18.81640625" style="7" customWidth="1"/>
    <col min="16" max="16" width="19" style="7" bestFit="1" customWidth="1"/>
    <col min="17" max="16384" width="11.453125" style="7"/>
  </cols>
  <sheetData>
    <row r="1" spans="1:13" ht="15" thickBot="1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>
      <c r="A2" s="263" t="s">
        <v>187</v>
      </c>
      <c r="B2" s="111" t="s">
        <v>81</v>
      </c>
    </row>
    <row r="3" spans="1:13">
      <c r="A3" s="112" t="s">
        <v>80</v>
      </c>
      <c r="B3" s="140">
        <v>0.1</v>
      </c>
      <c r="C3" s="112" t="s">
        <v>57</v>
      </c>
      <c r="D3" s="112"/>
      <c r="E3" s="187"/>
    </row>
    <row r="4" spans="1:13" ht="15" thickBot="1">
      <c r="A4" s="112"/>
      <c r="B4" s="141">
        <v>0.05</v>
      </c>
      <c r="C4" s="112" t="s">
        <v>58</v>
      </c>
      <c r="D4" s="112"/>
      <c r="E4" s="187"/>
    </row>
    <row r="5" spans="1:13">
      <c r="B5" s="298" t="s">
        <v>0</v>
      </c>
      <c r="C5" s="299"/>
      <c r="D5" s="300"/>
      <c r="E5" s="113"/>
      <c r="F5" s="114"/>
      <c r="I5" s="301" t="s">
        <v>1</v>
      </c>
      <c r="J5" s="299"/>
      <c r="K5" s="300"/>
      <c r="L5" s="113"/>
      <c r="M5" s="114"/>
    </row>
    <row r="6" spans="1:13" ht="71.25" customHeight="1">
      <c r="B6" s="115" t="s">
        <v>59</v>
      </c>
      <c r="C6" s="116" t="s">
        <v>23</v>
      </c>
      <c r="D6" s="117" t="s">
        <v>24</v>
      </c>
      <c r="E6" s="118" t="s">
        <v>192</v>
      </c>
      <c r="F6" s="119" t="s">
        <v>84</v>
      </c>
      <c r="I6" s="115" t="s">
        <v>59</v>
      </c>
      <c r="J6" s="116" t="s">
        <v>23</v>
      </c>
      <c r="K6" s="117" t="s">
        <v>24</v>
      </c>
      <c r="L6" s="118" t="s">
        <v>60</v>
      </c>
      <c r="M6" s="119" t="s">
        <v>84</v>
      </c>
    </row>
    <row r="7" spans="1:13">
      <c r="A7" s="120">
        <v>2011</v>
      </c>
      <c r="B7" s="4">
        <v>3666887.8985239998</v>
      </c>
      <c r="C7" s="6">
        <v>122.54</v>
      </c>
      <c r="D7" s="121">
        <f>B7*(1+(C7-100)/100)</f>
        <v>4493404.4308513096</v>
      </c>
      <c r="E7" s="7">
        <f>D7*$B$4</f>
        <v>224670.2215425655</v>
      </c>
      <c r="F7" s="7">
        <f>E7*$B$3</f>
        <v>22467.022154256552</v>
      </c>
      <c r="H7" s="120">
        <v>2011</v>
      </c>
      <c r="I7" s="4">
        <v>71045.545469999997</v>
      </c>
      <c r="J7" s="6">
        <f t="shared" ref="J7:J12" si="0">C7</f>
        <v>122.54</v>
      </c>
      <c r="K7" s="7">
        <f>I7*(1+(J7-100)/100)</f>
        <v>87059.211418937994</v>
      </c>
      <c r="L7" s="7">
        <f>K7*$B$4</f>
        <v>4352.9605709468997</v>
      </c>
      <c r="M7" s="7">
        <f>L7*$B$3</f>
        <v>435.29605709469001</v>
      </c>
    </row>
    <row r="8" spans="1:13">
      <c r="A8" s="122">
        <v>2012</v>
      </c>
      <c r="B8" s="5">
        <v>3831724.0707379999</v>
      </c>
      <c r="C8" s="7">
        <v>128.05000000000001</v>
      </c>
      <c r="D8" s="121">
        <f t="shared" ref="D8:D12" si="1">B8*(1+(C8-100)/100)</f>
        <v>4906522.6725800093</v>
      </c>
      <c r="E8" s="7">
        <f t="shared" ref="E8:E12" si="2">D8*$B$4</f>
        <v>245326.13362900048</v>
      </c>
      <c r="F8" s="7">
        <f t="shared" ref="F8:F12" si="3">E8*$B$3</f>
        <v>24532.613362900051</v>
      </c>
      <c r="H8" s="122">
        <v>2012</v>
      </c>
      <c r="I8" s="5">
        <v>68385.472745000006</v>
      </c>
      <c r="J8" s="7">
        <f t="shared" si="0"/>
        <v>128.05000000000001</v>
      </c>
      <c r="K8" s="7">
        <f t="shared" ref="K8:K12" si="4">I8*(1+(J8-100)/100)</f>
        <v>87567.597849972517</v>
      </c>
      <c r="L8" s="7">
        <f t="shared" ref="L8:L12" si="5">K8*$B$4</f>
        <v>4378.3798924986258</v>
      </c>
      <c r="M8" s="7">
        <f t="shared" ref="M8:M12" si="6">L8*$B$3</f>
        <v>437.83798924986263</v>
      </c>
    </row>
    <row r="9" spans="1:13">
      <c r="A9" s="122">
        <v>2013</v>
      </c>
      <c r="B9" s="5">
        <v>3509099.8627280002</v>
      </c>
      <c r="C9" s="7">
        <v>117.27</v>
      </c>
      <c r="D9" s="121">
        <f t="shared" si="1"/>
        <v>4115121.4090211252</v>
      </c>
      <c r="E9" s="7">
        <f t="shared" si="2"/>
        <v>205756.07045105626</v>
      </c>
      <c r="F9" s="7">
        <f t="shared" si="3"/>
        <v>20575.607045105629</v>
      </c>
      <c r="H9" s="122">
        <v>2013</v>
      </c>
      <c r="I9" s="5">
        <v>71283.398126</v>
      </c>
      <c r="J9" s="7">
        <f t="shared" si="0"/>
        <v>117.27</v>
      </c>
      <c r="K9" s="7">
        <f t="shared" si="4"/>
        <v>83594.040982360195</v>
      </c>
      <c r="L9" s="7">
        <f t="shared" si="5"/>
        <v>4179.7020491180101</v>
      </c>
      <c r="M9" s="7">
        <f t="shared" si="6"/>
        <v>417.97020491180103</v>
      </c>
    </row>
    <row r="10" spans="1:13">
      <c r="A10" s="122">
        <v>2014</v>
      </c>
      <c r="B10" s="5">
        <v>3608639.093351</v>
      </c>
      <c r="C10" s="7">
        <v>120.59</v>
      </c>
      <c r="D10" s="121">
        <f t="shared" si="1"/>
        <v>4351657.8826719709</v>
      </c>
      <c r="E10" s="7">
        <f t="shared" si="2"/>
        <v>217582.89413359854</v>
      </c>
      <c r="F10" s="7">
        <f t="shared" si="3"/>
        <v>21758.289413359857</v>
      </c>
      <c r="H10" s="122">
        <v>2014</v>
      </c>
      <c r="I10" s="5">
        <v>70973.742100000003</v>
      </c>
      <c r="J10" s="7">
        <f t="shared" si="0"/>
        <v>120.59</v>
      </c>
      <c r="K10" s="7">
        <f t="shared" si="4"/>
        <v>85587.235598390005</v>
      </c>
      <c r="L10" s="7">
        <f t="shared" si="5"/>
        <v>4279.3617799195008</v>
      </c>
      <c r="M10" s="7">
        <f t="shared" si="6"/>
        <v>427.9361779919501</v>
      </c>
    </row>
    <row r="11" spans="1:13">
      <c r="A11" s="122">
        <v>2015</v>
      </c>
      <c r="B11" s="5">
        <v>3505305.9689199999</v>
      </c>
      <c r="C11" s="7">
        <v>117.14</v>
      </c>
      <c r="D11" s="121">
        <f t="shared" si="1"/>
        <v>4106115.411992888</v>
      </c>
      <c r="E11" s="7">
        <f t="shared" si="2"/>
        <v>205305.7705996444</v>
      </c>
      <c r="F11" s="7">
        <f t="shared" si="3"/>
        <v>20530.577059964442</v>
      </c>
      <c r="H11" s="122">
        <v>2015</v>
      </c>
      <c r="I11" s="5">
        <v>72700.451858</v>
      </c>
      <c r="J11" s="7">
        <f t="shared" si="0"/>
        <v>117.14</v>
      </c>
      <c r="K11" s="7">
        <f t="shared" si="4"/>
        <v>85161.309306461204</v>
      </c>
      <c r="L11" s="7">
        <f t="shared" si="5"/>
        <v>4258.0654653230604</v>
      </c>
      <c r="M11" s="7">
        <f t="shared" si="6"/>
        <v>425.80654653230607</v>
      </c>
    </row>
    <row r="12" spans="1:13">
      <c r="A12" s="123">
        <v>2016</v>
      </c>
      <c r="B12" s="5">
        <v>3538442.142891</v>
      </c>
      <c r="C12" s="7">
        <v>118.25</v>
      </c>
      <c r="D12" s="121">
        <f t="shared" si="1"/>
        <v>4184207.8339686077</v>
      </c>
      <c r="E12" s="7">
        <f t="shared" si="2"/>
        <v>209210.39169843041</v>
      </c>
      <c r="F12" s="7">
        <f t="shared" si="3"/>
        <v>20921.039169843043</v>
      </c>
      <c r="H12" s="123">
        <v>2016</v>
      </c>
      <c r="I12" s="5">
        <v>73177.121119999996</v>
      </c>
      <c r="J12" s="7">
        <f t="shared" si="0"/>
        <v>118.25</v>
      </c>
      <c r="K12" s="7">
        <f t="shared" si="4"/>
        <v>86531.945724400008</v>
      </c>
      <c r="L12" s="7">
        <f t="shared" si="5"/>
        <v>4326.5972862200006</v>
      </c>
      <c r="M12" s="7">
        <f t="shared" si="6"/>
        <v>432.6597286220001</v>
      </c>
    </row>
    <row r="13" spans="1:13">
      <c r="B13" s="124"/>
      <c r="C13" s="125" t="s">
        <v>61</v>
      </c>
      <c r="D13" s="126">
        <f>AVERAGE(D7:D12)</f>
        <v>4359504.9401809843</v>
      </c>
      <c r="E13" s="126">
        <f>AVERAGE(E7:E12)</f>
        <v>217975.24700904926</v>
      </c>
      <c r="F13" s="126">
        <f>AVERAGE(F7:F12)</f>
        <v>21797.524700904931</v>
      </c>
      <c r="I13" s="124"/>
      <c r="J13" s="125" t="s">
        <v>61</v>
      </c>
      <c r="K13" s="126">
        <f>AVERAGE(K7:K12)</f>
        <v>85916.890146753649</v>
      </c>
      <c r="L13" s="126">
        <f>AVERAGE(L7:L12)</f>
        <v>4295.8445073376824</v>
      </c>
      <c r="M13" s="126">
        <f>AVERAGE(M7:M12)</f>
        <v>429.58445073376834</v>
      </c>
    </row>
    <row r="14" spans="1:13">
      <c r="A14" s="127" t="s">
        <v>62</v>
      </c>
      <c r="B14" s="127"/>
      <c r="C14" s="127"/>
      <c r="D14" s="128">
        <f>D13*1000</f>
        <v>4359504940.1809845</v>
      </c>
      <c r="E14" s="128"/>
      <c r="F14" s="128">
        <f>F13*1000</f>
        <v>21797524.700904932</v>
      </c>
      <c r="H14" s="127" t="s">
        <v>62</v>
      </c>
      <c r="I14" s="127"/>
      <c r="J14" s="127"/>
      <c r="K14" s="128">
        <f>K13*1000</f>
        <v>85916890.146753654</v>
      </c>
      <c r="L14" s="128"/>
      <c r="M14" s="128">
        <f>M13*1000</f>
        <v>429584.45073376835</v>
      </c>
    </row>
    <row r="15" spans="1:13">
      <c r="A15" s="127" t="s">
        <v>63</v>
      </c>
      <c r="B15" s="127"/>
      <c r="C15" s="127"/>
      <c r="D15" s="128">
        <f>D14+F14</f>
        <v>4381302464.8818893</v>
      </c>
      <c r="E15" s="128"/>
      <c r="F15" s="128"/>
      <c r="H15" s="127" t="s">
        <v>63</v>
      </c>
      <c r="I15" s="127"/>
      <c r="J15" s="127"/>
      <c r="K15" s="128">
        <f>K14+M14</f>
        <v>86346474.59748742</v>
      </c>
      <c r="L15" s="128"/>
      <c r="M15" s="128"/>
    </row>
    <row r="16" spans="1:13">
      <c r="A16" s="127" t="s">
        <v>85</v>
      </c>
      <c r="B16" s="127"/>
      <c r="C16" s="127"/>
      <c r="D16" s="129">
        <f>(D15-D14)</f>
        <v>21797524.700904846</v>
      </c>
      <c r="E16" s="129"/>
      <c r="F16" s="129"/>
      <c r="H16" s="127" t="s">
        <v>85</v>
      </c>
      <c r="I16" s="127"/>
      <c r="J16" s="127"/>
      <c r="K16" s="129">
        <f>(K15-K14)</f>
        <v>429584.45073376596</v>
      </c>
      <c r="L16" s="129"/>
      <c r="M16" s="129"/>
    </row>
    <row r="18" spans="1:13">
      <c r="B18" s="301" t="s">
        <v>2</v>
      </c>
      <c r="C18" s="299"/>
      <c r="D18" s="300"/>
      <c r="E18" s="113"/>
      <c r="F18" s="114"/>
      <c r="I18" s="301" t="s">
        <v>3</v>
      </c>
      <c r="J18" s="299"/>
      <c r="K18" s="300"/>
      <c r="L18" s="113"/>
      <c r="M18" s="114"/>
    </row>
    <row r="19" spans="1:13" ht="87">
      <c r="B19" s="115" t="s">
        <v>59</v>
      </c>
      <c r="C19" s="116" t="s">
        <v>23</v>
      </c>
      <c r="D19" s="117" t="s">
        <v>24</v>
      </c>
      <c r="E19" s="118" t="s">
        <v>60</v>
      </c>
      <c r="F19" s="119" t="s">
        <v>84</v>
      </c>
      <c r="I19" s="115" t="s">
        <v>59</v>
      </c>
      <c r="J19" s="116" t="s">
        <v>23</v>
      </c>
      <c r="K19" s="117" t="s">
        <v>24</v>
      </c>
      <c r="L19" s="118" t="s">
        <v>60</v>
      </c>
      <c r="M19" s="119" t="s">
        <v>84</v>
      </c>
    </row>
    <row r="20" spans="1:13">
      <c r="A20" s="130">
        <v>2011</v>
      </c>
      <c r="B20" s="4">
        <v>5054.7606100000003</v>
      </c>
      <c r="C20" s="6">
        <f>C7</f>
        <v>122.54</v>
      </c>
      <c r="D20" s="121">
        <f>B20*(1+(C20-100)/100)</f>
        <v>6194.1036514940006</v>
      </c>
      <c r="E20" s="7">
        <f>D20*$B$4</f>
        <v>309.70518257470007</v>
      </c>
      <c r="F20" s="7">
        <f>E20*$B$3</f>
        <v>30.970518257470008</v>
      </c>
      <c r="H20" s="120">
        <v>2011</v>
      </c>
      <c r="I20" s="5">
        <v>254621.76509299999</v>
      </c>
      <c r="J20" s="6">
        <v>613.15420774040001</v>
      </c>
      <c r="K20" s="7">
        <f>I20*(1+(J20-100)/100)</f>
        <v>1561224.0664906064</v>
      </c>
      <c r="L20" s="7">
        <f>K20*$B$4</f>
        <v>78061.203324530317</v>
      </c>
      <c r="M20" s="7">
        <f>L20*$B$3</f>
        <v>7806.1203324530325</v>
      </c>
    </row>
    <row r="21" spans="1:13">
      <c r="A21" s="131">
        <v>2012</v>
      </c>
      <c r="B21" s="5">
        <v>5098.171472</v>
      </c>
      <c r="C21" s="7">
        <f t="shared" ref="C21:C25" si="7">C8</f>
        <v>128.05000000000001</v>
      </c>
      <c r="D21" s="121">
        <f t="shared" ref="D21:D25" si="8">B21*(1+(C21-100)/100)</f>
        <v>6528.2085698960009</v>
      </c>
      <c r="E21" s="7">
        <f t="shared" ref="E21:E25" si="9">D21*$B$4</f>
        <v>326.41042849480004</v>
      </c>
      <c r="F21" s="7">
        <f t="shared" ref="F21:F25" si="10">E21*$B$3</f>
        <v>32.641042849480009</v>
      </c>
      <c r="H21" s="122">
        <v>2012</v>
      </c>
      <c r="I21" s="5">
        <v>248185.316097</v>
      </c>
      <c r="J21" s="7">
        <v>689.4484301704</v>
      </c>
      <c r="K21" s="7">
        <f t="shared" ref="K21:K25" si="11">I21*(1+(J21-100)/100)</f>
        <v>1711109.7657442116</v>
      </c>
      <c r="L21" s="7">
        <f t="shared" ref="L21:L25" si="12">K21*$B$4</f>
        <v>85555.488287210581</v>
      </c>
      <c r="M21" s="7">
        <f t="shared" ref="M21:M25" si="13">L21*$B$3</f>
        <v>8555.5488287210592</v>
      </c>
    </row>
    <row r="22" spans="1:13">
      <c r="A22" s="131">
        <v>2013</v>
      </c>
      <c r="B22" s="5">
        <v>5204.7634959999996</v>
      </c>
      <c r="C22" s="7">
        <f t="shared" si="7"/>
        <v>117.27</v>
      </c>
      <c r="D22" s="121">
        <f t="shared" si="8"/>
        <v>6103.6261517591984</v>
      </c>
      <c r="E22" s="7">
        <f t="shared" si="9"/>
        <v>305.18130758795991</v>
      </c>
      <c r="F22" s="7">
        <f t="shared" si="10"/>
        <v>30.518130758795991</v>
      </c>
      <c r="H22" s="122">
        <v>2013</v>
      </c>
      <c r="I22" s="5">
        <v>242292.13790100001</v>
      </c>
      <c r="J22" s="7">
        <v>690.39132969330001</v>
      </c>
      <c r="K22" s="7">
        <f t="shared" si="11"/>
        <v>1672763.9125970381</v>
      </c>
      <c r="L22" s="7">
        <f t="shared" si="12"/>
        <v>83638.195629851907</v>
      </c>
      <c r="M22" s="7">
        <f t="shared" si="13"/>
        <v>8363.8195629851907</v>
      </c>
    </row>
    <row r="23" spans="1:13">
      <c r="A23" s="131">
        <v>2014</v>
      </c>
      <c r="B23" s="5">
        <v>5316.6479310000004</v>
      </c>
      <c r="C23" s="7">
        <f t="shared" si="7"/>
        <v>120.59</v>
      </c>
      <c r="D23" s="121">
        <f t="shared" si="8"/>
        <v>6411.3457399929002</v>
      </c>
      <c r="E23" s="7">
        <f t="shared" si="9"/>
        <v>320.56728699964503</v>
      </c>
      <c r="F23" s="7">
        <f t="shared" si="10"/>
        <v>32.056728699964502</v>
      </c>
      <c r="H23" s="122">
        <v>2014</v>
      </c>
      <c r="I23" s="5">
        <v>248789.06529699999</v>
      </c>
      <c r="J23" s="7">
        <v>595.42454111430004</v>
      </c>
      <c r="K23" s="7">
        <f t="shared" si="11"/>
        <v>1481351.1503872187</v>
      </c>
      <c r="L23" s="7">
        <f t="shared" si="12"/>
        <v>74067.55751936094</v>
      </c>
      <c r="M23" s="7">
        <f t="shared" si="13"/>
        <v>7406.7557519360944</v>
      </c>
    </row>
    <row r="24" spans="1:13">
      <c r="A24" s="131">
        <v>2015</v>
      </c>
      <c r="B24" s="5">
        <v>4951.3732669999999</v>
      </c>
      <c r="C24" s="7">
        <f t="shared" si="7"/>
        <v>117.14</v>
      </c>
      <c r="D24" s="121">
        <f t="shared" si="8"/>
        <v>5800.0386449637999</v>
      </c>
      <c r="E24" s="7">
        <f t="shared" si="9"/>
        <v>290.00193224819003</v>
      </c>
      <c r="F24" s="7">
        <f t="shared" si="10"/>
        <v>29.000193224819004</v>
      </c>
      <c r="H24" s="122">
        <v>2015</v>
      </c>
      <c r="I24" s="5">
        <v>244597.89944400001</v>
      </c>
      <c r="J24" s="7">
        <v>542.75027261150001</v>
      </c>
      <c r="K24" s="7">
        <f t="shared" si="11"/>
        <v>1327555.7660343125</v>
      </c>
      <c r="L24" s="7">
        <f t="shared" si="12"/>
        <v>66377.788301715627</v>
      </c>
      <c r="M24" s="7">
        <f t="shared" si="13"/>
        <v>6637.7788301715627</v>
      </c>
    </row>
    <row r="25" spans="1:13">
      <c r="A25" s="131">
        <v>2016</v>
      </c>
      <c r="B25" s="5">
        <v>4893.1051930000003</v>
      </c>
      <c r="C25" s="7">
        <f t="shared" si="7"/>
        <v>118.25</v>
      </c>
      <c r="D25" s="121">
        <f t="shared" si="8"/>
        <v>5786.0968907225006</v>
      </c>
      <c r="E25" s="7">
        <f t="shared" si="9"/>
        <v>289.30484453612502</v>
      </c>
      <c r="F25" s="7">
        <f t="shared" si="10"/>
        <v>28.930484453612504</v>
      </c>
      <c r="H25" s="123">
        <v>2016</v>
      </c>
      <c r="I25" s="8">
        <v>238615.573573</v>
      </c>
      <c r="J25" s="9">
        <v>599.83388264769997</v>
      </c>
      <c r="K25" s="7">
        <f t="shared" si="11"/>
        <v>1431297.0595650049</v>
      </c>
      <c r="L25" s="7">
        <f t="shared" si="12"/>
        <v>71564.852978250245</v>
      </c>
      <c r="M25" s="7">
        <f t="shared" si="13"/>
        <v>7156.4852978250246</v>
      </c>
    </row>
    <row r="26" spans="1:13">
      <c r="B26" s="124"/>
      <c r="C26" s="125" t="s">
        <v>61</v>
      </c>
      <c r="D26" s="126">
        <f>AVERAGE(D20:D25)</f>
        <v>6137.2366081380669</v>
      </c>
      <c r="E26" s="126">
        <f>AVERAGE(E20:E25)</f>
        <v>306.86183040690338</v>
      </c>
      <c r="F26" s="126">
        <f>AVERAGE(F20:F25)</f>
        <v>30.686183040690338</v>
      </c>
      <c r="I26" s="124"/>
      <c r="J26" s="125" t="s">
        <v>61</v>
      </c>
      <c r="K26" s="126">
        <f>AVERAGE(K20:K25)</f>
        <v>1530883.6201363988</v>
      </c>
      <c r="L26" s="126">
        <f>AVERAGE(L20:L25)</f>
        <v>76544.181006819941</v>
      </c>
      <c r="M26" s="126">
        <f>AVERAGE(M20:M25)</f>
        <v>7654.4181006819936</v>
      </c>
    </row>
    <row r="27" spans="1:13">
      <c r="A27" s="127" t="s">
        <v>62</v>
      </c>
      <c r="B27" s="127"/>
      <c r="C27" s="127"/>
      <c r="D27" s="128">
        <f>D26*1000</f>
        <v>6137236.6081380667</v>
      </c>
      <c r="E27" s="128"/>
      <c r="F27" s="128">
        <f>F26*1000</f>
        <v>30686.183040690339</v>
      </c>
      <c r="H27" s="127" t="s">
        <v>62</v>
      </c>
      <c r="I27" s="127"/>
      <c r="J27" s="127"/>
      <c r="K27" s="128">
        <f>K26*1000</f>
        <v>1530883620.1363988</v>
      </c>
      <c r="L27" s="128"/>
      <c r="M27" s="128">
        <f>M26*1000</f>
        <v>7654418.1006819932</v>
      </c>
    </row>
    <row r="28" spans="1:13">
      <c r="A28" s="127" t="s">
        <v>63</v>
      </c>
      <c r="B28" s="127"/>
      <c r="C28" s="127"/>
      <c r="D28" s="128">
        <f>D27+F27</f>
        <v>6167922.7911787573</v>
      </c>
      <c r="E28" s="128"/>
      <c r="F28" s="128"/>
      <c r="H28" s="127" t="s">
        <v>63</v>
      </c>
      <c r="I28" s="127"/>
      <c r="J28" s="127"/>
      <c r="K28" s="128">
        <f>K27+M27</f>
        <v>1538538038.2370808</v>
      </c>
      <c r="L28" s="128"/>
      <c r="M28" s="128"/>
    </row>
    <row r="29" spans="1:13">
      <c r="A29" s="127" t="s">
        <v>85</v>
      </c>
      <c r="B29" s="127"/>
      <c r="C29" s="127"/>
      <c r="D29" s="129">
        <f>(D28-D27)</f>
        <v>30686.183040690608</v>
      </c>
      <c r="E29" s="129"/>
      <c r="F29" s="129"/>
      <c r="H29" s="127" t="s">
        <v>85</v>
      </c>
      <c r="I29" s="127"/>
      <c r="J29" s="127"/>
      <c r="K29" s="129">
        <f>(K28-K27)</f>
        <v>7654418.1006820202</v>
      </c>
      <c r="L29" s="129"/>
      <c r="M29" s="129"/>
    </row>
    <row r="32" spans="1:13" ht="15" thickBot="1"/>
    <row r="33" spans="2:6" ht="15" thickBot="1">
      <c r="B33" s="132"/>
      <c r="C33" s="133" t="str">
        <f>B5</f>
        <v>Madagascar</v>
      </c>
      <c r="D33" s="134" t="str">
        <f>I5</f>
        <v>Comoros</v>
      </c>
      <c r="E33" s="134" t="str">
        <f>B18</f>
        <v>Seychelles</v>
      </c>
      <c r="F33" s="134" t="str">
        <f>I18</f>
        <v>Mauritius</v>
      </c>
    </row>
    <row r="34" spans="2:6" ht="15" thickBot="1">
      <c r="B34" s="135" t="s">
        <v>82</v>
      </c>
      <c r="C34" s="11">
        <f>D16</f>
        <v>21797524.700904846</v>
      </c>
      <c r="D34" s="11">
        <f>K16</f>
        <v>429584.45073376596</v>
      </c>
      <c r="E34" s="11">
        <f>D29</f>
        <v>30686.183040690608</v>
      </c>
      <c r="F34" s="11">
        <f>K29</f>
        <v>7654418.1006820202</v>
      </c>
    </row>
    <row r="35" spans="2:6" ht="15" thickBot="1"/>
    <row r="36" spans="2:6" ht="15" thickBot="1">
      <c r="B36" s="136"/>
      <c r="C36" s="137" t="s">
        <v>0</v>
      </c>
      <c r="D36" s="138" t="s">
        <v>25</v>
      </c>
      <c r="E36" s="138" t="s">
        <v>2</v>
      </c>
      <c r="F36" s="138" t="s">
        <v>3</v>
      </c>
    </row>
    <row r="37" spans="2:6" ht="15" thickBot="1">
      <c r="B37" s="135" t="s">
        <v>64</v>
      </c>
      <c r="C37" s="302">
        <f>C34/1000000</f>
        <v>21.797524700904845</v>
      </c>
      <c r="D37" s="302">
        <f t="shared" ref="D37:F37" si="14">D34/1000000</f>
        <v>0.42958445073376594</v>
      </c>
      <c r="E37" s="304">
        <f t="shared" si="14"/>
        <v>3.0686183040690609E-2</v>
      </c>
      <c r="F37" s="302">
        <f t="shared" si="14"/>
        <v>7.6544181006820198</v>
      </c>
    </row>
    <row r="38" spans="2:6" ht="15" thickBot="1">
      <c r="B38" s="139" t="s">
        <v>28</v>
      </c>
      <c r="C38" s="303"/>
      <c r="D38" s="303"/>
      <c r="E38" s="305"/>
      <c r="F38" s="303"/>
    </row>
    <row r="42" spans="2:6" ht="72.5">
      <c r="C42" s="171"/>
      <c r="D42" s="175" t="str">
        <f>A14</f>
        <v>Agriculture production without Hydromet project (USD)</v>
      </c>
      <c r="E42" s="175" t="str">
        <f>E6</f>
        <v>Agriulture production that benefit from climate services ( Assumption 5% of the total production)</v>
      </c>
      <c r="F42" s="175" t="str">
        <f>F6</f>
        <v>Benefits associated to climate services (+10%)</v>
      </c>
    </row>
    <row r="43" spans="2:6">
      <c r="C43" s="176" t="s">
        <v>9</v>
      </c>
      <c r="D43" s="172">
        <f>D14</f>
        <v>4359504940.1809845</v>
      </c>
      <c r="E43" s="173">
        <f>D43*0.1</f>
        <v>435950494.01809847</v>
      </c>
      <c r="F43" s="173">
        <f>E43*0.1</f>
        <v>43595049.401809849</v>
      </c>
    </row>
    <row r="44" spans="2:6">
      <c r="C44" s="176" t="s">
        <v>25</v>
      </c>
      <c r="D44" s="172">
        <f>K14</f>
        <v>85916890.146753654</v>
      </c>
      <c r="E44" s="173">
        <f t="shared" ref="E44:F44" si="15">D44*0.1</f>
        <v>8591689.0146753658</v>
      </c>
      <c r="F44" s="173">
        <f t="shared" si="15"/>
        <v>859168.90146753658</v>
      </c>
    </row>
    <row r="45" spans="2:6">
      <c r="C45" s="176" t="s">
        <v>2</v>
      </c>
      <c r="D45" s="172">
        <f>D27</f>
        <v>6137236.6081380667</v>
      </c>
      <c r="E45" s="173">
        <f t="shared" ref="E45:F45" si="16">D45*0.1</f>
        <v>613723.66081380669</v>
      </c>
      <c r="F45" s="173">
        <f t="shared" si="16"/>
        <v>61372.366081380671</v>
      </c>
    </row>
    <row r="46" spans="2:6">
      <c r="C46" s="176" t="s">
        <v>3</v>
      </c>
      <c r="D46" s="172">
        <f>K27</f>
        <v>1530883620.1363988</v>
      </c>
      <c r="E46" s="173">
        <f t="shared" ref="E46:F46" si="17">D46*0.1</f>
        <v>153088362.0136399</v>
      </c>
      <c r="F46" s="173">
        <f t="shared" si="17"/>
        <v>15308836.20136399</v>
      </c>
    </row>
    <row r="47" spans="2:6">
      <c r="C47" s="174" t="s">
        <v>86</v>
      </c>
      <c r="D47" s="174">
        <f>SUM(D43:D46)</f>
        <v>5982442687.0722752</v>
      </c>
      <c r="E47" s="174">
        <f t="shared" ref="E47:F47" si="18">SUM(E43:E46)</f>
        <v>598244268.70722759</v>
      </c>
      <c r="F47" s="174">
        <f t="shared" si="18"/>
        <v>59824426.870722756</v>
      </c>
    </row>
    <row r="51" spans="1:13" ht="15" thickBot="1">
      <c r="A51" s="262"/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</row>
    <row r="52" spans="1:13">
      <c r="A52" s="263" t="s">
        <v>188</v>
      </c>
      <c r="B52" s="111" t="s">
        <v>81</v>
      </c>
    </row>
    <row r="53" spans="1:13">
      <c r="A53" s="112" t="s">
        <v>80</v>
      </c>
      <c r="B53" s="140">
        <v>0.1</v>
      </c>
      <c r="C53" s="112" t="s">
        <v>57</v>
      </c>
      <c r="D53" s="112"/>
      <c r="E53" s="187"/>
    </row>
    <row r="54" spans="1:13" ht="15" thickBot="1">
      <c r="A54" s="112"/>
      <c r="B54" s="141">
        <v>0.1</v>
      </c>
      <c r="C54" s="112" t="s">
        <v>58</v>
      </c>
      <c r="D54" s="112"/>
      <c r="E54" s="187"/>
    </row>
    <row r="55" spans="1:13">
      <c r="B55" s="298" t="s">
        <v>0</v>
      </c>
      <c r="C55" s="299"/>
      <c r="D55" s="300"/>
      <c r="E55" s="196"/>
      <c r="F55" s="114"/>
      <c r="I55" s="301" t="s">
        <v>1</v>
      </c>
      <c r="J55" s="299"/>
      <c r="K55" s="300"/>
      <c r="L55" s="196"/>
      <c r="M55" s="114"/>
    </row>
    <row r="56" spans="1:13" ht="87">
      <c r="B56" s="115" t="s">
        <v>59</v>
      </c>
      <c r="C56" s="116" t="s">
        <v>23</v>
      </c>
      <c r="D56" s="117" t="s">
        <v>24</v>
      </c>
      <c r="E56" s="118" t="s">
        <v>60</v>
      </c>
      <c r="F56" s="119" t="s">
        <v>84</v>
      </c>
      <c r="I56" s="115" t="s">
        <v>59</v>
      </c>
      <c r="J56" s="116" t="s">
        <v>23</v>
      </c>
      <c r="K56" s="117" t="s">
        <v>24</v>
      </c>
      <c r="L56" s="118" t="s">
        <v>60</v>
      </c>
      <c r="M56" s="119" t="s">
        <v>84</v>
      </c>
    </row>
    <row r="57" spans="1:13">
      <c r="A57" s="120">
        <v>2011</v>
      </c>
      <c r="B57" s="4">
        <v>3666887.8985239998</v>
      </c>
      <c r="C57" s="6">
        <v>122.54</v>
      </c>
      <c r="D57" s="121">
        <f>B57*(1+(C57-100)/100)</f>
        <v>4493404.4308513096</v>
      </c>
      <c r="E57" s="7">
        <f>D57*$B$54</f>
        <v>449340.443085131</v>
      </c>
      <c r="F57" s="7">
        <f>E57*$B$53</f>
        <v>44934.044308513105</v>
      </c>
      <c r="H57" s="120">
        <v>2011</v>
      </c>
      <c r="I57" s="4">
        <v>71045.545469999997</v>
      </c>
      <c r="J57" s="6">
        <f t="shared" ref="J57:J62" si="19">C57</f>
        <v>122.54</v>
      </c>
      <c r="K57" s="7">
        <f>I57*(1+(J57-100)/100)</f>
        <v>87059.211418937994</v>
      </c>
      <c r="L57" s="7">
        <f>K57*$B$54</f>
        <v>8705.9211418937994</v>
      </c>
      <c r="M57" s="7">
        <f>L57*$B$53</f>
        <v>870.59211418938003</v>
      </c>
    </row>
    <row r="58" spans="1:13">
      <c r="A58" s="122">
        <v>2012</v>
      </c>
      <c r="B58" s="5">
        <v>3831724.0707379999</v>
      </c>
      <c r="C58" s="7">
        <v>128.05000000000001</v>
      </c>
      <c r="D58" s="121">
        <f t="shared" ref="D58:D62" si="20">B58*(1+(C58-100)/100)</f>
        <v>4906522.6725800093</v>
      </c>
      <c r="E58" s="7">
        <f t="shared" ref="E58:E62" si="21">D58*$B$54</f>
        <v>490652.26725800097</v>
      </c>
      <c r="F58" s="7">
        <f t="shared" ref="F58:F62" si="22">E58*$B$53</f>
        <v>49065.226725800101</v>
      </c>
      <c r="H58" s="122">
        <v>2012</v>
      </c>
      <c r="I58" s="5">
        <v>68385.472745000006</v>
      </c>
      <c r="J58" s="7">
        <f t="shared" si="19"/>
        <v>128.05000000000001</v>
      </c>
      <c r="K58" s="7">
        <f t="shared" ref="K58:K62" si="23">I58*(1+(J58-100)/100)</f>
        <v>87567.597849972517</v>
      </c>
      <c r="L58" s="7">
        <f t="shared" ref="L58:L62" si="24">K58*$B$54</f>
        <v>8756.7597849972517</v>
      </c>
      <c r="M58" s="7">
        <f t="shared" ref="M58:M62" si="25">L58*$B$53</f>
        <v>875.67597849972526</v>
      </c>
    </row>
    <row r="59" spans="1:13">
      <c r="A59" s="122">
        <v>2013</v>
      </c>
      <c r="B59" s="5">
        <v>3509099.8627280002</v>
      </c>
      <c r="C59" s="7">
        <v>117.27</v>
      </c>
      <c r="D59" s="121">
        <f t="shared" si="20"/>
        <v>4115121.4090211252</v>
      </c>
      <c r="E59" s="7">
        <f t="shared" si="21"/>
        <v>411512.14090211253</v>
      </c>
      <c r="F59" s="7">
        <f t="shared" si="22"/>
        <v>41151.214090211259</v>
      </c>
      <c r="H59" s="122">
        <v>2013</v>
      </c>
      <c r="I59" s="5">
        <v>71283.398126</v>
      </c>
      <c r="J59" s="7">
        <f t="shared" si="19"/>
        <v>117.27</v>
      </c>
      <c r="K59" s="7">
        <f t="shared" si="23"/>
        <v>83594.040982360195</v>
      </c>
      <c r="L59" s="7">
        <f t="shared" si="24"/>
        <v>8359.4040982360202</v>
      </c>
      <c r="M59" s="7">
        <f t="shared" si="25"/>
        <v>835.94040982360207</v>
      </c>
    </row>
    <row r="60" spans="1:13">
      <c r="A60" s="122">
        <v>2014</v>
      </c>
      <c r="B60" s="5">
        <v>3608639.093351</v>
      </c>
      <c r="C60" s="7">
        <v>120.59</v>
      </c>
      <c r="D60" s="121">
        <f t="shared" si="20"/>
        <v>4351657.8826719709</v>
      </c>
      <c r="E60" s="7">
        <f t="shared" si="21"/>
        <v>435165.78826719709</v>
      </c>
      <c r="F60" s="7">
        <f t="shared" si="22"/>
        <v>43516.578826719713</v>
      </c>
      <c r="H60" s="122">
        <v>2014</v>
      </c>
      <c r="I60" s="5">
        <v>70973.742100000003</v>
      </c>
      <c r="J60" s="7">
        <f t="shared" si="19"/>
        <v>120.59</v>
      </c>
      <c r="K60" s="7">
        <f t="shared" si="23"/>
        <v>85587.235598390005</v>
      </c>
      <c r="L60" s="7">
        <f t="shared" si="24"/>
        <v>8558.7235598390016</v>
      </c>
      <c r="M60" s="7">
        <f t="shared" si="25"/>
        <v>855.87235598390021</v>
      </c>
    </row>
    <row r="61" spans="1:13">
      <c r="A61" s="122">
        <v>2015</v>
      </c>
      <c r="B61" s="5">
        <v>3505305.9689199999</v>
      </c>
      <c r="C61" s="7">
        <v>117.14</v>
      </c>
      <c r="D61" s="121">
        <f t="shared" si="20"/>
        <v>4106115.411992888</v>
      </c>
      <c r="E61" s="7">
        <f t="shared" si="21"/>
        <v>410611.5411992888</v>
      </c>
      <c r="F61" s="7">
        <f t="shared" si="22"/>
        <v>41061.154119928884</v>
      </c>
      <c r="H61" s="122">
        <v>2015</v>
      </c>
      <c r="I61" s="5">
        <v>72700.451858</v>
      </c>
      <c r="J61" s="7">
        <f t="shared" si="19"/>
        <v>117.14</v>
      </c>
      <c r="K61" s="7">
        <f t="shared" si="23"/>
        <v>85161.309306461204</v>
      </c>
      <c r="L61" s="7">
        <f t="shared" si="24"/>
        <v>8516.1309306461208</v>
      </c>
      <c r="M61" s="7">
        <f t="shared" si="25"/>
        <v>851.61309306461214</v>
      </c>
    </row>
    <row r="62" spans="1:13">
      <c r="A62" s="123">
        <v>2016</v>
      </c>
      <c r="B62" s="5">
        <v>3538442.142891</v>
      </c>
      <c r="C62" s="7">
        <v>118.25</v>
      </c>
      <c r="D62" s="121">
        <f t="shared" si="20"/>
        <v>4184207.8339686077</v>
      </c>
      <c r="E62" s="7">
        <f t="shared" si="21"/>
        <v>418420.78339686082</v>
      </c>
      <c r="F62" s="7">
        <f t="shared" si="22"/>
        <v>41842.078339686086</v>
      </c>
      <c r="H62" s="123">
        <v>2016</v>
      </c>
      <c r="I62" s="5">
        <v>73177.121119999996</v>
      </c>
      <c r="J62" s="7">
        <f t="shared" si="19"/>
        <v>118.25</v>
      </c>
      <c r="K62" s="7">
        <f t="shared" si="23"/>
        <v>86531.945724400008</v>
      </c>
      <c r="L62" s="7">
        <f t="shared" si="24"/>
        <v>8653.1945724400011</v>
      </c>
      <c r="M62" s="7">
        <f t="shared" si="25"/>
        <v>865.3194572440002</v>
      </c>
    </row>
    <row r="63" spans="1:13">
      <c r="B63" s="124"/>
      <c r="C63" s="125" t="s">
        <v>61</v>
      </c>
      <c r="D63" s="126">
        <f>AVERAGE(D57:D62)</f>
        <v>4359504.9401809843</v>
      </c>
      <c r="E63" s="126">
        <f>AVERAGE(E57:E62)</f>
        <v>435950.49401809851</v>
      </c>
      <c r="F63" s="126">
        <f>AVERAGE(F57:F62)</f>
        <v>43595.049401809862</v>
      </c>
      <c r="I63" s="124"/>
      <c r="J63" s="125" t="s">
        <v>61</v>
      </c>
      <c r="K63" s="126">
        <f>AVERAGE(K57:K62)</f>
        <v>85916.890146753649</v>
      </c>
      <c r="L63" s="126">
        <f>AVERAGE(L57:L62)</f>
        <v>8591.6890146753649</v>
      </c>
      <c r="M63" s="126">
        <f>AVERAGE(M57:M62)</f>
        <v>859.16890146753667</v>
      </c>
    </row>
    <row r="64" spans="1:13">
      <c r="A64" s="127" t="s">
        <v>62</v>
      </c>
      <c r="B64" s="127"/>
      <c r="C64" s="127"/>
      <c r="D64" s="128">
        <f>D63*1000</f>
        <v>4359504940.1809845</v>
      </c>
      <c r="E64" s="128"/>
      <c r="F64" s="128">
        <f>F63*1000</f>
        <v>43595049.401809864</v>
      </c>
      <c r="H64" s="127" t="s">
        <v>62</v>
      </c>
      <c r="I64" s="127"/>
      <c r="J64" s="127"/>
      <c r="K64" s="128">
        <f>K63*1000</f>
        <v>85916890.146753654</v>
      </c>
      <c r="L64" s="128"/>
      <c r="M64" s="128">
        <f>M63*1000</f>
        <v>859168.90146753669</v>
      </c>
    </row>
    <row r="65" spans="1:13">
      <c r="A65" s="127" t="s">
        <v>63</v>
      </c>
      <c r="B65" s="127"/>
      <c r="C65" s="127"/>
      <c r="D65" s="128">
        <f>D64+F64</f>
        <v>4403099989.5827942</v>
      </c>
      <c r="E65" s="128"/>
      <c r="F65" s="128"/>
      <c r="H65" s="127" t="s">
        <v>63</v>
      </c>
      <c r="I65" s="127"/>
      <c r="J65" s="127"/>
      <c r="K65" s="128">
        <f>K64+M64</f>
        <v>86776059.048221186</v>
      </c>
      <c r="L65" s="128"/>
      <c r="M65" s="128"/>
    </row>
    <row r="66" spans="1:13">
      <c r="A66" s="127" t="s">
        <v>85</v>
      </c>
      <c r="B66" s="127"/>
      <c r="C66" s="127"/>
      <c r="D66" s="129">
        <f>(D65-D64)</f>
        <v>43595049.401809692</v>
      </c>
      <c r="E66" s="129"/>
      <c r="F66" s="129"/>
      <c r="H66" s="127" t="s">
        <v>85</v>
      </c>
      <c r="I66" s="127"/>
      <c r="J66" s="127"/>
      <c r="K66" s="129">
        <f>(K65-K64)</f>
        <v>859168.90146753192</v>
      </c>
      <c r="L66" s="129"/>
      <c r="M66" s="129"/>
    </row>
    <row r="68" spans="1:13">
      <c r="B68" s="301" t="s">
        <v>2</v>
      </c>
      <c r="C68" s="299"/>
      <c r="D68" s="300"/>
      <c r="E68" s="196"/>
      <c r="F68" s="114"/>
      <c r="I68" s="301" t="s">
        <v>3</v>
      </c>
      <c r="J68" s="299"/>
      <c r="K68" s="300"/>
      <c r="L68" s="196"/>
      <c r="M68" s="114"/>
    </row>
    <row r="69" spans="1:13" ht="87">
      <c r="B69" s="115" t="s">
        <v>59</v>
      </c>
      <c r="C69" s="116" t="s">
        <v>23</v>
      </c>
      <c r="D69" s="117" t="s">
        <v>24</v>
      </c>
      <c r="E69" s="118" t="s">
        <v>60</v>
      </c>
      <c r="F69" s="119" t="s">
        <v>84</v>
      </c>
      <c r="I69" s="115" t="s">
        <v>59</v>
      </c>
      <c r="J69" s="116" t="s">
        <v>23</v>
      </c>
      <c r="K69" s="117" t="s">
        <v>24</v>
      </c>
      <c r="L69" s="118" t="s">
        <v>60</v>
      </c>
      <c r="M69" s="119" t="s">
        <v>84</v>
      </c>
    </row>
    <row r="70" spans="1:13">
      <c r="A70" s="130">
        <v>2011</v>
      </c>
      <c r="B70" s="4">
        <v>5054.7606100000003</v>
      </c>
      <c r="C70" s="6">
        <f>C57</f>
        <v>122.54</v>
      </c>
      <c r="D70" s="121">
        <f>B70*(1+(C70-100)/100)</f>
        <v>6194.1036514940006</v>
      </c>
      <c r="E70" s="7">
        <f>D70*$B$54</f>
        <v>619.41036514940015</v>
      </c>
      <c r="F70" s="7">
        <f>E70*$B$53</f>
        <v>61.941036514940016</v>
      </c>
      <c r="H70" s="120">
        <v>2011</v>
      </c>
      <c r="I70" s="5">
        <v>254621.76509299999</v>
      </c>
      <c r="J70" s="6">
        <v>613.15420774040001</v>
      </c>
      <c r="K70" s="7">
        <f>I70*(1+(J70-100)/100)</f>
        <v>1561224.0664906064</v>
      </c>
      <c r="L70" s="7">
        <f>K70*$B$54</f>
        <v>156122.40664906063</v>
      </c>
      <c r="M70" s="7">
        <f>L70*$B$53</f>
        <v>15612.240664906065</v>
      </c>
    </row>
    <row r="71" spans="1:13">
      <c r="A71" s="131">
        <v>2012</v>
      </c>
      <c r="B71" s="5">
        <v>5098.171472</v>
      </c>
      <c r="C71" s="7">
        <f t="shared" ref="C71:C75" si="26">C58</f>
        <v>128.05000000000001</v>
      </c>
      <c r="D71" s="121">
        <f t="shared" ref="D71:D75" si="27">B71*(1+(C71-100)/100)</f>
        <v>6528.2085698960009</v>
      </c>
      <c r="E71" s="7">
        <f t="shared" ref="E71:E75" si="28">D71*$B$54</f>
        <v>652.82085698960009</v>
      </c>
      <c r="F71" s="7">
        <f t="shared" ref="F71:F75" si="29">E71*$B$53</f>
        <v>65.282085698960017</v>
      </c>
      <c r="H71" s="122">
        <v>2012</v>
      </c>
      <c r="I71" s="5">
        <v>248185.316097</v>
      </c>
      <c r="J71" s="7">
        <v>689.4484301704</v>
      </c>
      <c r="K71" s="7">
        <f t="shared" ref="K71:K75" si="30">I71*(1+(J71-100)/100)</f>
        <v>1711109.7657442116</v>
      </c>
      <c r="L71" s="7">
        <f t="shared" ref="L71:L75" si="31">K71*$B$54</f>
        <v>171110.97657442116</v>
      </c>
      <c r="M71" s="7">
        <f t="shared" ref="M71:M75" si="32">L71*$B$53</f>
        <v>17111.097657442118</v>
      </c>
    </row>
    <row r="72" spans="1:13">
      <c r="A72" s="131">
        <v>2013</v>
      </c>
      <c r="B72" s="5">
        <v>5204.7634959999996</v>
      </c>
      <c r="C72" s="7">
        <f t="shared" si="26"/>
        <v>117.27</v>
      </c>
      <c r="D72" s="121">
        <f t="shared" si="27"/>
        <v>6103.6261517591984</v>
      </c>
      <c r="E72" s="7">
        <f t="shared" si="28"/>
        <v>610.36261517591981</v>
      </c>
      <c r="F72" s="7">
        <f t="shared" si="29"/>
        <v>61.036261517591981</v>
      </c>
      <c r="H72" s="122">
        <v>2013</v>
      </c>
      <c r="I72" s="5">
        <v>242292.13790100001</v>
      </c>
      <c r="J72" s="7">
        <v>690.39132969330001</v>
      </c>
      <c r="K72" s="7">
        <f t="shared" si="30"/>
        <v>1672763.9125970381</v>
      </c>
      <c r="L72" s="7">
        <f t="shared" si="31"/>
        <v>167276.39125970381</v>
      </c>
      <c r="M72" s="7">
        <f t="shared" si="32"/>
        <v>16727.639125970381</v>
      </c>
    </row>
    <row r="73" spans="1:13">
      <c r="A73" s="131">
        <v>2014</v>
      </c>
      <c r="B73" s="5">
        <v>5316.6479310000004</v>
      </c>
      <c r="C73" s="7">
        <f t="shared" si="26"/>
        <v>120.59</v>
      </c>
      <c r="D73" s="121">
        <f t="shared" si="27"/>
        <v>6411.3457399929002</v>
      </c>
      <c r="E73" s="7">
        <f t="shared" si="28"/>
        <v>641.13457399929007</v>
      </c>
      <c r="F73" s="7">
        <f t="shared" si="29"/>
        <v>64.113457399929004</v>
      </c>
      <c r="H73" s="122">
        <v>2014</v>
      </c>
      <c r="I73" s="5">
        <v>248789.06529699999</v>
      </c>
      <c r="J73" s="7">
        <v>595.42454111430004</v>
      </c>
      <c r="K73" s="7">
        <f t="shared" si="30"/>
        <v>1481351.1503872187</v>
      </c>
      <c r="L73" s="7">
        <f t="shared" si="31"/>
        <v>148135.11503872188</v>
      </c>
      <c r="M73" s="7">
        <f t="shared" si="32"/>
        <v>14813.511503872189</v>
      </c>
    </row>
    <row r="74" spans="1:13">
      <c r="A74" s="131">
        <v>2015</v>
      </c>
      <c r="B74" s="5">
        <v>4951.3732669999999</v>
      </c>
      <c r="C74" s="7">
        <f t="shared" si="26"/>
        <v>117.14</v>
      </c>
      <c r="D74" s="121">
        <f t="shared" si="27"/>
        <v>5800.0386449637999</v>
      </c>
      <c r="E74" s="7">
        <f t="shared" si="28"/>
        <v>580.00386449638006</v>
      </c>
      <c r="F74" s="7">
        <f t="shared" si="29"/>
        <v>58.000386449638007</v>
      </c>
      <c r="H74" s="122">
        <v>2015</v>
      </c>
      <c r="I74" s="5">
        <v>244597.89944400001</v>
      </c>
      <c r="J74" s="7">
        <v>542.75027261150001</v>
      </c>
      <c r="K74" s="7">
        <f t="shared" si="30"/>
        <v>1327555.7660343125</v>
      </c>
      <c r="L74" s="7">
        <f t="shared" si="31"/>
        <v>132755.57660343125</v>
      </c>
      <c r="M74" s="7">
        <f t="shared" si="32"/>
        <v>13275.557660343125</v>
      </c>
    </row>
    <row r="75" spans="1:13">
      <c r="A75" s="131">
        <v>2016</v>
      </c>
      <c r="B75" s="5">
        <v>4893.1051930000003</v>
      </c>
      <c r="C75" s="7">
        <f t="shared" si="26"/>
        <v>118.25</v>
      </c>
      <c r="D75" s="121">
        <f t="shared" si="27"/>
        <v>5786.0968907225006</v>
      </c>
      <c r="E75" s="7">
        <f t="shared" si="28"/>
        <v>578.60968907225003</v>
      </c>
      <c r="F75" s="7">
        <f t="shared" si="29"/>
        <v>57.860968907225008</v>
      </c>
      <c r="H75" s="123">
        <v>2016</v>
      </c>
      <c r="I75" s="8">
        <v>238615.573573</v>
      </c>
      <c r="J75" s="9">
        <v>599.83388264769997</v>
      </c>
      <c r="K75" s="7">
        <f t="shared" si="30"/>
        <v>1431297.0595650049</v>
      </c>
      <c r="L75" s="7">
        <f t="shared" si="31"/>
        <v>143129.70595650049</v>
      </c>
      <c r="M75" s="7">
        <f t="shared" si="32"/>
        <v>14312.970595650049</v>
      </c>
    </row>
    <row r="76" spans="1:13">
      <c r="B76" s="124"/>
      <c r="C76" s="125" t="s">
        <v>61</v>
      </c>
      <c r="D76" s="126">
        <f>AVERAGE(D70:D75)</f>
        <v>6137.2366081380669</v>
      </c>
      <c r="E76" s="126">
        <f>AVERAGE(E70:E75)</f>
        <v>613.72366081380676</v>
      </c>
      <c r="F76" s="126">
        <f>AVERAGE(F70:F75)</f>
        <v>61.372366081380676</v>
      </c>
      <c r="I76" s="124"/>
      <c r="J76" s="125" t="s">
        <v>61</v>
      </c>
      <c r="K76" s="126">
        <f>AVERAGE(K70:K75)</f>
        <v>1530883.6201363988</v>
      </c>
      <c r="L76" s="126">
        <f>AVERAGE(L70:L75)</f>
        <v>153088.36201363988</v>
      </c>
      <c r="M76" s="126">
        <f>AVERAGE(M70:M75)</f>
        <v>15308.836201363987</v>
      </c>
    </row>
    <row r="77" spans="1:13">
      <c r="A77" s="127" t="s">
        <v>62</v>
      </c>
      <c r="B77" s="127"/>
      <c r="C77" s="127"/>
      <c r="D77" s="128">
        <f>D76*1000</f>
        <v>6137236.6081380667</v>
      </c>
      <c r="E77" s="128"/>
      <c r="F77" s="128">
        <f>F76*1000</f>
        <v>61372.366081380678</v>
      </c>
      <c r="H77" s="127" t="s">
        <v>62</v>
      </c>
      <c r="I77" s="127"/>
      <c r="J77" s="127"/>
      <c r="K77" s="128">
        <f>K76*1000</f>
        <v>1530883620.1363988</v>
      </c>
      <c r="L77" s="128"/>
      <c r="M77" s="128">
        <f>M76*1000</f>
        <v>15308836.201363986</v>
      </c>
    </row>
    <row r="78" spans="1:13">
      <c r="A78" s="127" t="s">
        <v>63</v>
      </c>
      <c r="B78" s="127"/>
      <c r="C78" s="127"/>
      <c r="D78" s="128">
        <f>D77+F77</f>
        <v>6198608.974219447</v>
      </c>
      <c r="E78" s="128"/>
      <c r="F78" s="128"/>
      <c r="H78" s="127" t="s">
        <v>63</v>
      </c>
      <c r="I78" s="127"/>
      <c r="J78" s="127"/>
      <c r="K78" s="128">
        <f>K77+M77</f>
        <v>1546192456.3377628</v>
      </c>
      <c r="L78" s="128"/>
      <c r="M78" s="128"/>
    </row>
    <row r="79" spans="1:13">
      <c r="A79" s="127" t="s">
        <v>85</v>
      </c>
      <c r="B79" s="127"/>
      <c r="C79" s="127"/>
      <c r="D79" s="129">
        <f>(D78-D77)</f>
        <v>61372.366081380285</v>
      </c>
      <c r="E79" s="129"/>
      <c r="F79" s="129"/>
      <c r="H79" s="127" t="s">
        <v>85</v>
      </c>
      <c r="I79" s="127"/>
      <c r="J79" s="127"/>
      <c r="K79" s="129">
        <f>(K78-K77)</f>
        <v>15308836.20136404</v>
      </c>
      <c r="L79" s="129"/>
      <c r="M79" s="129"/>
    </row>
    <row r="82" spans="2:6" ht="15" thickBot="1"/>
    <row r="83" spans="2:6" ht="15" thickBot="1">
      <c r="B83" s="132"/>
      <c r="C83" s="133" t="str">
        <f>B55</f>
        <v>Madagascar</v>
      </c>
      <c r="D83" s="134" t="str">
        <f>I55</f>
        <v>Comoros</v>
      </c>
      <c r="E83" s="134" t="str">
        <f>B68</f>
        <v>Seychelles</v>
      </c>
      <c r="F83" s="134" t="str">
        <f>I68</f>
        <v>Mauritius</v>
      </c>
    </row>
    <row r="84" spans="2:6" ht="15" thickBot="1">
      <c r="B84" s="135" t="s">
        <v>82</v>
      </c>
      <c r="C84" s="11">
        <f>D66</f>
        <v>43595049.401809692</v>
      </c>
      <c r="D84" s="11">
        <f>K66</f>
        <v>859168.90146753192</v>
      </c>
      <c r="E84" s="11">
        <f>D79</f>
        <v>61372.366081380285</v>
      </c>
      <c r="F84" s="11">
        <f>K79</f>
        <v>15308836.20136404</v>
      </c>
    </row>
    <row r="85" spans="2:6" ht="15" thickBot="1"/>
    <row r="86" spans="2:6" ht="15" thickBot="1">
      <c r="B86" s="136"/>
      <c r="C86" s="137" t="s">
        <v>0</v>
      </c>
      <c r="D86" s="138" t="s">
        <v>25</v>
      </c>
      <c r="E86" s="138" t="s">
        <v>2</v>
      </c>
      <c r="F86" s="138" t="s">
        <v>3</v>
      </c>
    </row>
    <row r="87" spans="2:6" ht="15" thickBot="1">
      <c r="B87" s="135" t="s">
        <v>64</v>
      </c>
      <c r="C87" s="302">
        <f>C84/1000000</f>
        <v>43.595049401809689</v>
      </c>
      <c r="D87" s="302">
        <f t="shared" ref="D87:F87" si="33">D84/1000000</f>
        <v>0.85916890146753189</v>
      </c>
      <c r="E87" s="302">
        <f t="shared" si="33"/>
        <v>6.1372366081380282E-2</v>
      </c>
      <c r="F87" s="302">
        <f t="shared" si="33"/>
        <v>15.30883620136404</v>
      </c>
    </row>
    <row r="88" spans="2:6" ht="15" thickBot="1">
      <c r="B88" s="139" t="s">
        <v>28</v>
      </c>
      <c r="C88" s="303"/>
      <c r="D88" s="303"/>
      <c r="E88" s="303"/>
      <c r="F88" s="303"/>
    </row>
    <row r="92" spans="2:6" ht="72.5">
      <c r="C92" s="171"/>
      <c r="D92" s="175" t="str">
        <f>A64</f>
        <v>Agriculture production without Hydromet project (USD)</v>
      </c>
      <c r="E92" s="175" t="str">
        <f>E56</f>
        <v>Agriulture production that benefit from climate services ( Assumption 10% of the total production)</v>
      </c>
      <c r="F92" s="175" t="str">
        <f>F56</f>
        <v>Benefits associated to climate services (+10%)</v>
      </c>
    </row>
    <row r="93" spans="2:6">
      <c r="C93" s="176" t="s">
        <v>9</v>
      </c>
      <c r="D93" s="172">
        <f>D64</f>
        <v>4359504940.1809845</v>
      </c>
      <c r="E93" s="173">
        <f>D93*0.1</f>
        <v>435950494.01809847</v>
      </c>
      <c r="F93" s="173">
        <f>E93*0.1</f>
        <v>43595049.401809849</v>
      </c>
    </row>
    <row r="94" spans="2:6">
      <c r="C94" s="176" t="s">
        <v>25</v>
      </c>
      <c r="D94" s="172">
        <f>K64</f>
        <v>85916890.146753654</v>
      </c>
      <c r="E94" s="173">
        <f t="shared" ref="E94:E96" si="34">D94*0.1</f>
        <v>8591689.0146753658</v>
      </c>
      <c r="F94" s="173">
        <f t="shared" ref="F94:F96" si="35">E94*0.1</f>
        <v>859168.90146753658</v>
      </c>
    </row>
    <row r="95" spans="2:6">
      <c r="C95" s="176" t="s">
        <v>2</v>
      </c>
      <c r="D95" s="172">
        <f>D77</f>
        <v>6137236.6081380667</v>
      </c>
      <c r="E95" s="173">
        <f t="shared" si="34"/>
        <v>613723.66081380669</v>
      </c>
      <c r="F95" s="173">
        <f t="shared" si="35"/>
        <v>61372.366081380671</v>
      </c>
    </row>
    <row r="96" spans="2:6">
      <c r="C96" s="176" t="s">
        <v>3</v>
      </c>
      <c r="D96" s="172">
        <f>K77</f>
        <v>1530883620.1363988</v>
      </c>
      <c r="E96" s="173">
        <f t="shared" si="34"/>
        <v>153088362.0136399</v>
      </c>
      <c r="F96" s="173">
        <f t="shared" si="35"/>
        <v>15308836.20136399</v>
      </c>
    </row>
    <row r="97" spans="1:13">
      <c r="C97" s="174" t="s">
        <v>86</v>
      </c>
      <c r="D97" s="174">
        <f>SUM(D93:D96)</f>
        <v>5982442687.0722752</v>
      </c>
      <c r="E97" s="174">
        <f t="shared" ref="E97:F97" si="36">SUM(E93:E96)</f>
        <v>598244268.70722759</v>
      </c>
      <c r="F97" s="174">
        <f t="shared" si="36"/>
        <v>59824426.870722756</v>
      </c>
    </row>
    <row r="99" spans="1:13" ht="15" thickBot="1">
      <c r="A99" s="262"/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2"/>
      <c r="M99" s="262"/>
    </row>
    <row r="100" spans="1:13">
      <c r="A100" s="263" t="s">
        <v>189</v>
      </c>
      <c r="B100" s="111" t="s">
        <v>81</v>
      </c>
    </row>
    <row r="101" spans="1:13">
      <c r="A101" s="112" t="s">
        <v>80</v>
      </c>
      <c r="B101" s="140">
        <v>0.1</v>
      </c>
      <c r="C101" s="112" t="s">
        <v>57</v>
      </c>
      <c r="D101" s="112"/>
      <c r="E101" s="187"/>
    </row>
    <row r="102" spans="1:13" ht="15" thickBot="1">
      <c r="A102" s="112"/>
      <c r="B102" s="141">
        <v>0.15</v>
      </c>
      <c r="C102" s="112" t="s">
        <v>58</v>
      </c>
      <c r="D102" s="112"/>
      <c r="E102" s="187"/>
    </row>
    <row r="103" spans="1:13">
      <c r="B103" s="298" t="s">
        <v>0</v>
      </c>
      <c r="C103" s="299"/>
      <c r="D103" s="300"/>
      <c r="E103" s="196"/>
      <c r="F103" s="114"/>
      <c r="I103" s="301" t="s">
        <v>1</v>
      </c>
      <c r="J103" s="299"/>
      <c r="K103" s="300"/>
      <c r="L103" s="196"/>
      <c r="M103" s="114"/>
    </row>
    <row r="104" spans="1:13" ht="87">
      <c r="B104" s="115" t="s">
        <v>59</v>
      </c>
      <c r="C104" s="116" t="s">
        <v>23</v>
      </c>
      <c r="D104" s="117" t="s">
        <v>24</v>
      </c>
      <c r="E104" s="118" t="s">
        <v>193</v>
      </c>
      <c r="F104" s="119" t="s">
        <v>84</v>
      </c>
      <c r="I104" s="115" t="s">
        <v>59</v>
      </c>
      <c r="J104" s="116" t="s">
        <v>23</v>
      </c>
      <c r="K104" s="117" t="s">
        <v>24</v>
      </c>
      <c r="L104" s="118" t="s">
        <v>60</v>
      </c>
      <c r="M104" s="119" t="s">
        <v>84</v>
      </c>
    </row>
    <row r="105" spans="1:13">
      <c r="A105" s="120">
        <v>2011</v>
      </c>
      <c r="B105" s="4">
        <v>3666887.8985239998</v>
      </c>
      <c r="C105" s="6">
        <v>122.54</v>
      </c>
      <c r="D105" s="121">
        <f>B105*(1+(C105-100)/100)</f>
        <v>4493404.4308513096</v>
      </c>
      <c r="E105" s="7">
        <f>D105*$B$102</f>
        <v>674010.66462769639</v>
      </c>
      <c r="F105" s="7">
        <f>E105*$B$101</f>
        <v>67401.066462769639</v>
      </c>
      <c r="H105" s="120">
        <v>2011</v>
      </c>
      <c r="I105" s="4">
        <v>71045.545469999997</v>
      </c>
      <c r="J105" s="6">
        <f t="shared" ref="J105:J110" si="37">C105</f>
        <v>122.54</v>
      </c>
      <c r="K105" s="7">
        <f>I105*(1+(J105-100)/100)</f>
        <v>87059.211418937994</v>
      </c>
      <c r="L105" s="7">
        <f>K105*$B$102</f>
        <v>13058.881712840699</v>
      </c>
      <c r="M105" s="7">
        <f>L105*$B$101</f>
        <v>1305.88817128407</v>
      </c>
    </row>
    <row r="106" spans="1:13">
      <c r="A106" s="122">
        <v>2012</v>
      </c>
      <c r="B106" s="5">
        <v>3831724.0707379999</v>
      </c>
      <c r="C106" s="7">
        <v>128.05000000000001</v>
      </c>
      <c r="D106" s="121">
        <f t="shared" ref="D106:D110" si="38">B106*(1+(C106-100)/100)</f>
        <v>4906522.6725800093</v>
      </c>
      <c r="E106" s="7">
        <f t="shared" ref="E106:E110" si="39">D106*$B$102</f>
        <v>735978.40088700142</v>
      </c>
      <c r="F106" s="7">
        <f t="shared" ref="F106:F110" si="40">E106*$B$101</f>
        <v>73597.840088700148</v>
      </c>
      <c r="H106" s="122">
        <v>2012</v>
      </c>
      <c r="I106" s="5">
        <v>68385.472745000006</v>
      </c>
      <c r="J106" s="7">
        <f t="shared" si="37"/>
        <v>128.05000000000001</v>
      </c>
      <c r="K106" s="7">
        <f t="shared" ref="K106:K110" si="41">I106*(1+(J106-100)/100)</f>
        <v>87567.597849972517</v>
      </c>
      <c r="L106" s="7">
        <f t="shared" ref="L106:L110" si="42">K106*$B$102</f>
        <v>13135.139677495878</v>
      </c>
      <c r="M106" s="7">
        <f t="shared" ref="M106:M110" si="43">L106*$B$101</f>
        <v>1313.5139677495879</v>
      </c>
    </row>
    <row r="107" spans="1:13">
      <c r="A107" s="122">
        <v>2013</v>
      </c>
      <c r="B107" s="5">
        <v>3509099.8627280002</v>
      </c>
      <c r="C107" s="7">
        <v>117.27</v>
      </c>
      <c r="D107" s="121">
        <f t="shared" si="38"/>
        <v>4115121.4090211252</v>
      </c>
      <c r="E107" s="7">
        <f t="shared" si="39"/>
        <v>617268.21135316871</v>
      </c>
      <c r="F107" s="7">
        <f t="shared" si="40"/>
        <v>61726.821135316874</v>
      </c>
      <c r="H107" s="122">
        <v>2013</v>
      </c>
      <c r="I107" s="5">
        <v>71283.398126</v>
      </c>
      <c r="J107" s="7">
        <f t="shared" si="37"/>
        <v>117.27</v>
      </c>
      <c r="K107" s="7">
        <f t="shared" si="41"/>
        <v>83594.040982360195</v>
      </c>
      <c r="L107" s="7">
        <f t="shared" si="42"/>
        <v>12539.106147354029</v>
      </c>
      <c r="M107" s="7">
        <f t="shared" si="43"/>
        <v>1253.910614735403</v>
      </c>
    </row>
    <row r="108" spans="1:13">
      <c r="A108" s="122">
        <v>2014</v>
      </c>
      <c r="B108" s="5">
        <v>3608639.093351</v>
      </c>
      <c r="C108" s="7">
        <v>120.59</v>
      </c>
      <c r="D108" s="121">
        <f t="shared" si="38"/>
        <v>4351657.8826719709</v>
      </c>
      <c r="E108" s="7">
        <f t="shared" si="39"/>
        <v>652748.68240079563</v>
      </c>
      <c r="F108" s="7">
        <f t="shared" si="40"/>
        <v>65274.868240079566</v>
      </c>
      <c r="H108" s="122">
        <v>2014</v>
      </c>
      <c r="I108" s="5">
        <v>70973.742100000003</v>
      </c>
      <c r="J108" s="7">
        <f t="shared" si="37"/>
        <v>120.59</v>
      </c>
      <c r="K108" s="7">
        <f t="shared" si="41"/>
        <v>85587.235598390005</v>
      </c>
      <c r="L108" s="7">
        <f t="shared" si="42"/>
        <v>12838.0853397585</v>
      </c>
      <c r="M108" s="7">
        <f t="shared" si="43"/>
        <v>1283.80853397585</v>
      </c>
    </row>
    <row r="109" spans="1:13">
      <c r="A109" s="122">
        <v>2015</v>
      </c>
      <c r="B109" s="5">
        <v>3505305.9689199999</v>
      </c>
      <c r="C109" s="7">
        <v>117.14</v>
      </c>
      <c r="D109" s="121">
        <f t="shared" si="38"/>
        <v>4106115.411992888</v>
      </c>
      <c r="E109" s="7">
        <f t="shared" si="39"/>
        <v>615917.31179893319</v>
      </c>
      <c r="F109" s="7">
        <f t="shared" si="40"/>
        <v>61591.731179893322</v>
      </c>
      <c r="H109" s="122">
        <v>2015</v>
      </c>
      <c r="I109" s="5">
        <v>72700.451858</v>
      </c>
      <c r="J109" s="7">
        <f t="shared" si="37"/>
        <v>117.14</v>
      </c>
      <c r="K109" s="7">
        <f t="shared" si="41"/>
        <v>85161.309306461204</v>
      </c>
      <c r="L109" s="7">
        <f t="shared" si="42"/>
        <v>12774.19639596918</v>
      </c>
      <c r="M109" s="7">
        <f t="shared" si="43"/>
        <v>1277.4196395969182</v>
      </c>
    </row>
    <row r="110" spans="1:13">
      <c r="A110" s="123">
        <v>2016</v>
      </c>
      <c r="B110" s="5">
        <v>3538442.142891</v>
      </c>
      <c r="C110" s="7">
        <v>118.25</v>
      </c>
      <c r="D110" s="121">
        <f t="shared" si="38"/>
        <v>4184207.8339686077</v>
      </c>
      <c r="E110" s="7">
        <f t="shared" si="39"/>
        <v>627631.17509529111</v>
      </c>
      <c r="F110" s="7">
        <f t="shared" si="40"/>
        <v>62763.117509529111</v>
      </c>
      <c r="H110" s="123">
        <v>2016</v>
      </c>
      <c r="I110" s="5">
        <v>73177.121119999996</v>
      </c>
      <c r="J110" s="7">
        <f t="shared" si="37"/>
        <v>118.25</v>
      </c>
      <c r="K110" s="7">
        <f t="shared" si="41"/>
        <v>86531.945724400008</v>
      </c>
      <c r="L110" s="7">
        <f t="shared" si="42"/>
        <v>12979.791858660001</v>
      </c>
      <c r="M110" s="7">
        <f t="shared" si="43"/>
        <v>1297.9791858660001</v>
      </c>
    </row>
    <row r="111" spans="1:13">
      <c r="B111" s="124"/>
      <c r="C111" s="125" t="s">
        <v>61</v>
      </c>
      <c r="D111" s="126">
        <f>AVERAGE(D105:D110)</f>
        <v>4359504.9401809843</v>
      </c>
      <c r="E111" s="126">
        <f>AVERAGE(E105:E110)</f>
        <v>653925.74102714763</v>
      </c>
      <c r="F111" s="126">
        <f>AVERAGE(F105:F110)</f>
        <v>65392.574102714774</v>
      </c>
      <c r="I111" s="124"/>
      <c r="J111" s="125" t="s">
        <v>61</v>
      </c>
      <c r="K111" s="126">
        <f>AVERAGE(K105:K110)</f>
        <v>85916.890146753649</v>
      </c>
      <c r="L111" s="126">
        <f>AVERAGE(L105:L110)</f>
        <v>12887.533522013049</v>
      </c>
      <c r="M111" s="126">
        <f>AVERAGE(M105:M110)</f>
        <v>1288.7533522013048</v>
      </c>
    </row>
    <row r="112" spans="1:13">
      <c r="A112" s="127" t="s">
        <v>62</v>
      </c>
      <c r="B112" s="127"/>
      <c r="C112" s="127"/>
      <c r="D112" s="128">
        <f>D111*1000</f>
        <v>4359504940.1809845</v>
      </c>
      <c r="E112" s="128"/>
      <c r="F112" s="128">
        <f>F111*1000</f>
        <v>65392574.102714777</v>
      </c>
      <c r="H112" s="127" t="s">
        <v>62</v>
      </c>
      <c r="I112" s="127"/>
      <c r="J112" s="127"/>
      <c r="K112" s="128">
        <f>K111*1000</f>
        <v>85916890.146753654</v>
      </c>
      <c r="L112" s="128"/>
      <c r="M112" s="128">
        <f>M111*1000</f>
        <v>1288753.3522013049</v>
      </c>
    </row>
    <row r="113" spans="1:13">
      <c r="A113" s="127" t="s">
        <v>63</v>
      </c>
      <c r="B113" s="127"/>
      <c r="C113" s="127"/>
      <c r="D113" s="128">
        <f>D112+F112</f>
        <v>4424897514.283699</v>
      </c>
      <c r="E113" s="128"/>
      <c r="F113" s="128"/>
      <c r="H113" s="127" t="s">
        <v>63</v>
      </c>
      <c r="I113" s="127"/>
      <c r="J113" s="127"/>
      <c r="K113" s="128">
        <f>K112+M112</f>
        <v>87205643.498954952</v>
      </c>
      <c r="L113" s="128"/>
      <c r="M113" s="128"/>
    </row>
    <row r="114" spans="1:13">
      <c r="A114" s="127" t="s">
        <v>85</v>
      </c>
      <c r="B114" s="127"/>
      <c r="C114" s="127"/>
      <c r="D114" s="129">
        <f>(D113-D112)</f>
        <v>65392574.102714539</v>
      </c>
      <c r="E114" s="129"/>
      <c r="F114" s="129"/>
      <c r="H114" s="127" t="s">
        <v>85</v>
      </c>
      <c r="I114" s="127"/>
      <c r="J114" s="127"/>
      <c r="K114" s="129">
        <f>(K113-K112)</f>
        <v>1288753.3522012979</v>
      </c>
      <c r="L114" s="129"/>
      <c r="M114" s="129"/>
    </row>
    <row r="116" spans="1:13">
      <c r="B116" s="301" t="s">
        <v>2</v>
      </c>
      <c r="C116" s="299"/>
      <c r="D116" s="300"/>
      <c r="E116" s="196"/>
      <c r="F116" s="114"/>
      <c r="I116" s="301" t="s">
        <v>3</v>
      </c>
      <c r="J116" s="299"/>
      <c r="K116" s="300"/>
      <c r="L116" s="196"/>
      <c r="M116" s="114"/>
    </row>
    <row r="117" spans="1:13" ht="87">
      <c r="B117" s="115" t="s">
        <v>59</v>
      </c>
      <c r="C117" s="116" t="s">
        <v>23</v>
      </c>
      <c r="D117" s="117" t="s">
        <v>24</v>
      </c>
      <c r="E117" s="118" t="s">
        <v>60</v>
      </c>
      <c r="F117" s="119" t="s">
        <v>84</v>
      </c>
      <c r="I117" s="115" t="s">
        <v>59</v>
      </c>
      <c r="J117" s="116" t="s">
        <v>23</v>
      </c>
      <c r="K117" s="117" t="s">
        <v>24</v>
      </c>
      <c r="L117" s="118" t="s">
        <v>60</v>
      </c>
      <c r="M117" s="119" t="s">
        <v>84</v>
      </c>
    </row>
    <row r="118" spans="1:13">
      <c r="A118" s="130">
        <v>2011</v>
      </c>
      <c r="B118" s="4">
        <v>5054.7606100000003</v>
      </c>
      <c r="C118" s="6">
        <f>C105</f>
        <v>122.54</v>
      </c>
      <c r="D118" s="121">
        <f>B118*(1+(C118-100)/100)</f>
        <v>6194.1036514940006</v>
      </c>
      <c r="E118" s="7">
        <f>D118*$B$102</f>
        <v>929.1155477241</v>
      </c>
      <c r="F118" s="7">
        <f>E118*$B$101</f>
        <v>92.91155477241</v>
      </c>
      <c r="H118" s="120">
        <v>2011</v>
      </c>
      <c r="I118" s="5">
        <v>254621.76509299999</v>
      </c>
      <c r="J118" s="6">
        <v>613.15420774040001</v>
      </c>
      <c r="K118" s="7">
        <f>I118*(1+(J118-100)/100)</f>
        <v>1561224.0664906064</v>
      </c>
      <c r="L118" s="7">
        <f>K118*$B$102</f>
        <v>234183.60997359097</v>
      </c>
      <c r="M118" s="7">
        <f>L118*$B$101</f>
        <v>23418.360997359097</v>
      </c>
    </row>
    <row r="119" spans="1:13">
      <c r="A119" s="131">
        <v>2012</v>
      </c>
      <c r="B119" s="5">
        <v>5098.171472</v>
      </c>
      <c r="C119" s="7">
        <f t="shared" ref="C119:C123" si="44">C106</f>
        <v>128.05000000000001</v>
      </c>
      <c r="D119" s="121">
        <f t="shared" ref="D119:D123" si="45">B119*(1+(C119-100)/100)</f>
        <v>6528.2085698960009</v>
      </c>
      <c r="E119" s="7">
        <f t="shared" ref="E119:E123" si="46">D119*$B$102</f>
        <v>979.23128548440013</v>
      </c>
      <c r="F119" s="7">
        <f t="shared" ref="F119:F123" si="47">E119*$B$101</f>
        <v>97.923128548440019</v>
      </c>
      <c r="H119" s="122">
        <v>2012</v>
      </c>
      <c r="I119" s="5">
        <v>248185.316097</v>
      </c>
      <c r="J119" s="7">
        <v>689.4484301704</v>
      </c>
      <c r="K119" s="7">
        <f t="shared" ref="K119:K123" si="48">I119*(1+(J119-100)/100)</f>
        <v>1711109.7657442116</v>
      </c>
      <c r="L119" s="7">
        <f t="shared" ref="L119:L123" si="49">K119*$B$102</f>
        <v>256666.46486163174</v>
      </c>
      <c r="M119" s="7">
        <f t="shared" ref="M119:M123" si="50">L119*$B$101</f>
        <v>25666.646486163176</v>
      </c>
    </row>
    <row r="120" spans="1:13">
      <c r="A120" s="131">
        <v>2013</v>
      </c>
      <c r="B120" s="5">
        <v>5204.7634959999996</v>
      </c>
      <c r="C120" s="7">
        <f t="shared" si="44"/>
        <v>117.27</v>
      </c>
      <c r="D120" s="121">
        <f t="shared" si="45"/>
        <v>6103.6261517591984</v>
      </c>
      <c r="E120" s="7">
        <f t="shared" si="46"/>
        <v>915.54392276387978</v>
      </c>
      <c r="F120" s="7">
        <f t="shared" si="47"/>
        <v>91.554392276387986</v>
      </c>
      <c r="H120" s="122">
        <v>2013</v>
      </c>
      <c r="I120" s="5">
        <v>242292.13790100001</v>
      </c>
      <c r="J120" s="7">
        <v>690.39132969330001</v>
      </c>
      <c r="K120" s="7">
        <f t="shared" si="48"/>
        <v>1672763.9125970381</v>
      </c>
      <c r="L120" s="7">
        <f t="shared" si="49"/>
        <v>250914.58688955571</v>
      </c>
      <c r="M120" s="7">
        <f t="shared" si="50"/>
        <v>25091.458688955572</v>
      </c>
    </row>
    <row r="121" spans="1:13">
      <c r="A121" s="131">
        <v>2014</v>
      </c>
      <c r="B121" s="5">
        <v>5316.6479310000004</v>
      </c>
      <c r="C121" s="7">
        <f t="shared" si="44"/>
        <v>120.59</v>
      </c>
      <c r="D121" s="121">
        <f t="shared" si="45"/>
        <v>6411.3457399929002</v>
      </c>
      <c r="E121" s="7">
        <f t="shared" si="46"/>
        <v>961.70186099893499</v>
      </c>
      <c r="F121" s="7">
        <f t="shared" si="47"/>
        <v>96.170186099893499</v>
      </c>
      <c r="H121" s="122">
        <v>2014</v>
      </c>
      <c r="I121" s="5">
        <v>248789.06529699999</v>
      </c>
      <c r="J121" s="7">
        <v>595.42454111430004</v>
      </c>
      <c r="K121" s="7">
        <f t="shared" si="48"/>
        <v>1481351.1503872187</v>
      </c>
      <c r="L121" s="7">
        <f t="shared" si="49"/>
        <v>222202.67255808279</v>
      </c>
      <c r="M121" s="7">
        <f t="shared" si="50"/>
        <v>22220.267255808281</v>
      </c>
    </row>
    <row r="122" spans="1:13">
      <c r="A122" s="131">
        <v>2015</v>
      </c>
      <c r="B122" s="5">
        <v>4951.3732669999999</v>
      </c>
      <c r="C122" s="7">
        <f t="shared" si="44"/>
        <v>117.14</v>
      </c>
      <c r="D122" s="121">
        <f t="shared" si="45"/>
        <v>5800.0386449637999</v>
      </c>
      <c r="E122" s="7">
        <f t="shared" si="46"/>
        <v>870.00579674456992</v>
      </c>
      <c r="F122" s="7">
        <f t="shared" si="47"/>
        <v>87.000579674457001</v>
      </c>
      <c r="H122" s="122">
        <v>2015</v>
      </c>
      <c r="I122" s="5">
        <v>244597.89944400001</v>
      </c>
      <c r="J122" s="7">
        <v>542.75027261150001</v>
      </c>
      <c r="K122" s="7">
        <f t="shared" si="48"/>
        <v>1327555.7660343125</v>
      </c>
      <c r="L122" s="7">
        <f t="shared" si="49"/>
        <v>199133.36490514688</v>
      </c>
      <c r="M122" s="7">
        <f t="shared" si="50"/>
        <v>19913.336490514688</v>
      </c>
    </row>
    <row r="123" spans="1:13">
      <c r="A123" s="131">
        <v>2016</v>
      </c>
      <c r="B123" s="5">
        <v>4893.1051930000003</v>
      </c>
      <c r="C123" s="7">
        <f t="shared" si="44"/>
        <v>118.25</v>
      </c>
      <c r="D123" s="121">
        <f t="shared" si="45"/>
        <v>5786.0968907225006</v>
      </c>
      <c r="E123" s="7">
        <f t="shared" si="46"/>
        <v>867.91453360837511</v>
      </c>
      <c r="F123" s="7">
        <f t="shared" si="47"/>
        <v>86.791453360837522</v>
      </c>
      <c r="H123" s="123">
        <v>2016</v>
      </c>
      <c r="I123" s="8">
        <v>238615.573573</v>
      </c>
      <c r="J123" s="9">
        <v>599.83388264769997</v>
      </c>
      <c r="K123" s="7">
        <f t="shared" si="48"/>
        <v>1431297.0595650049</v>
      </c>
      <c r="L123" s="7">
        <f t="shared" si="49"/>
        <v>214694.55893475073</v>
      </c>
      <c r="M123" s="7">
        <f t="shared" si="50"/>
        <v>21469.455893475075</v>
      </c>
    </row>
    <row r="124" spans="1:13">
      <c r="B124" s="124"/>
      <c r="C124" s="125" t="s">
        <v>61</v>
      </c>
      <c r="D124" s="126">
        <f>AVERAGE(D118:D123)</f>
        <v>6137.2366081380669</v>
      </c>
      <c r="E124" s="126">
        <f>AVERAGE(E118:E123)</f>
        <v>920.58549122070997</v>
      </c>
      <c r="F124" s="126">
        <f>AVERAGE(F118:F123)</f>
        <v>92.058549122071</v>
      </c>
      <c r="I124" s="124"/>
      <c r="J124" s="125" t="s">
        <v>61</v>
      </c>
      <c r="K124" s="126">
        <f>AVERAGE(K118:K123)</f>
        <v>1530883.6201363988</v>
      </c>
      <c r="L124" s="126">
        <f>AVERAGE(L118:L123)</f>
        <v>229632.54302045979</v>
      </c>
      <c r="M124" s="126">
        <f>AVERAGE(M118:M123)</f>
        <v>22963.254302045982</v>
      </c>
    </row>
    <row r="125" spans="1:13">
      <c r="A125" s="127" t="s">
        <v>62</v>
      </c>
      <c r="B125" s="127"/>
      <c r="C125" s="127"/>
      <c r="D125" s="128">
        <f>D124*1000</f>
        <v>6137236.6081380667</v>
      </c>
      <c r="E125" s="128"/>
      <c r="F125" s="128">
        <f>F124*1000</f>
        <v>92058.549122070996</v>
      </c>
      <c r="H125" s="127" t="s">
        <v>62</v>
      </c>
      <c r="I125" s="127"/>
      <c r="J125" s="127"/>
      <c r="K125" s="128">
        <f>K124*1000</f>
        <v>1530883620.1363988</v>
      </c>
      <c r="L125" s="128"/>
      <c r="M125" s="128">
        <f>M124*1000</f>
        <v>22963254.302045982</v>
      </c>
    </row>
    <row r="126" spans="1:13">
      <c r="A126" s="127" t="s">
        <v>63</v>
      </c>
      <c r="B126" s="127"/>
      <c r="C126" s="127"/>
      <c r="D126" s="128">
        <f>D125+F125</f>
        <v>6229295.1572601376</v>
      </c>
      <c r="E126" s="128"/>
      <c r="F126" s="128"/>
      <c r="H126" s="127" t="s">
        <v>63</v>
      </c>
      <c r="I126" s="127"/>
      <c r="J126" s="127"/>
      <c r="K126" s="128">
        <f>K125+M125</f>
        <v>1553846874.4384449</v>
      </c>
      <c r="L126" s="128"/>
      <c r="M126" s="128"/>
    </row>
    <row r="127" spans="1:13">
      <c r="A127" s="127" t="s">
        <v>85</v>
      </c>
      <c r="B127" s="127"/>
      <c r="C127" s="127"/>
      <c r="D127" s="129">
        <f>(D126-D125)</f>
        <v>92058.549122070894</v>
      </c>
      <c r="E127" s="129"/>
      <c r="F127" s="129"/>
      <c r="H127" s="127" t="s">
        <v>85</v>
      </c>
      <c r="I127" s="127"/>
      <c r="J127" s="127"/>
      <c r="K127" s="129">
        <f>(K126-K125)</f>
        <v>22963254.302046061</v>
      </c>
      <c r="L127" s="129"/>
      <c r="M127" s="129"/>
    </row>
    <row r="130" spans="2:6" ht="15" thickBot="1"/>
    <row r="131" spans="2:6" ht="15" thickBot="1">
      <c r="B131" s="132"/>
      <c r="C131" s="133" t="str">
        <f>B103</f>
        <v>Madagascar</v>
      </c>
      <c r="D131" s="134" t="str">
        <f>I103</f>
        <v>Comoros</v>
      </c>
      <c r="E131" s="134" t="str">
        <f>B116</f>
        <v>Seychelles</v>
      </c>
      <c r="F131" s="134" t="str">
        <f>I116</f>
        <v>Mauritius</v>
      </c>
    </row>
    <row r="132" spans="2:6" ht="15" thickBot="1">
      <c r="B132" s="135" t="s">
        <v>82</v>
      </c>
      <c r="C132" s="11">
        <f>D114</f>
        <v>65392574.102714539</v>
      </c>
      <c r="D132" s="11">
        <f>K114</f>
        <v>1288753.3522012979</v>
      </c>
      <c r="E132" s="11">
        <f>D127</f>
        <v>92058.549122070894</v>
      </c>
      <c r="F132" s="11">
        <f>K127</f>
        <v>22963254.302046061</v>
      </c>
    </row>
    <row r="133" spans="2:6" ht="15" thickBot="1"/>
    <row r="134" spans="2:6" ht="15" thickBot="1">
      <c r="B134" s="136"/>
      <c r="C134" s="137" t="s">
        <v>0</v>
      </c>
      <c r="D134" s="138" t="s">
        <v>25</v>
      </c>
      <c r="E134" s="138" t="s">
        <v>2</v>
      </c>
      <c r="F134" s="138" t="s">
        <v>3</v>
      </c>
    </row>
    <row r="135" spans="2:6" ht="15" thickBot="1">
      <c r="B135" s="135" t="s">
        <v>64</v>
      </c>
      <c r="C135" s="302">
        <f>C132/1000000</f>
        <v>65.392574102714534</v>
      </c>
      <c r="D135" s="302">
        <f t="shared" ref="D135:F135" si="51">D132/1000000</f>
        <v>1.2887533522012979</v>
      </c>
      <c r="E135" s="302">
        <f t="shared" si="51"/>
        <v>9.2058549122070898E-2</v>
      </c>
      <c r="F135" s="302">
        <f t="shared" si="51"/>
        <v>22.96325430204606</v>
      </c>
    </row>
    <row r="136" spans="2:6" ht="15" thickBot="1">
      <c r="B136" s="139" t="s">
        <v>28</v>
      </c>
      <c r="C136" s="303"/>
      <c r="D136" s="303"/>
      <c r="E136" s="303"/>
      <c r="F136" s="303"/>
    </row>
    <row r="140" spans="2:6" ht="72.5">
      <c r="C140" s="171"/>
      <c r="D140" s="175" t="str">
        <f>A112</f>
        <v>Agriculture production without Hydromet project (USD)</v>
      </c>
      <c r="E140" s="175" t="str">
        <f>E104</f>
        <v>Agriulture production that benefit from climate services ( Assumption 15% of the total production)</v>
      </c>
      <c r="F140" s="175" t="str">
        <f>F104</f>
        <v>Benefits associated to climate services (+10%)</v>
      </c>
    </row>
    <row r="141" spans="2:6">
      <c r="C141" s="176" t="s">
        <v>9</v>
      </c>
      <c r="D141" s="172">
        <f>D112</f>
        <v>4359504940.1809845</v>
      </c>
      <c r="E141" s="173">
        <f>D141*0.1</f>
        <v>435950494.01809847</v>
      </c>
      <c r="F141" s="173">
        <f>E141*0.1</f>
        <v>43595049.401809849</v>
      </c>
    </row>
    <row r="142" spans="2:6">
      <c r="C142" s="176" t="s">
        <v>25</v>
      </c>
      <c r="D142" s="172">
        <f>K112</f>
        <v>85916890.146753654</v>
      </c>
      <c r="E142" s="173">
        <f t="shared" ref="E142:E144" si="52">D142*0.1</f>
        <v>8591689.0146753658</v>
      </c>
      <c r="F142" s="173">
        <f t="shared" ref="F142:F144" si="53">E142*0.1</f>
        <v>859168.90146753658</v>
      </c>
    </row>
    <row r="143" spans="2:6">
      <c r="C143" s="176" t="s">
        <v>2</v>
      </c>
      <c r="D143" s="172">
        <f>D125</f>
        <v>6137236.6081380667</v>
      </c>
      <c r="E143" s="173">
        <f t="shared" si="52"/>
        <v>613723.66081380669</v>
      </c>
      <c r="F143" s="173">
        <f t="shared" si="53"/>
        <v>61372.366081380671</v>
      </c>
    </row>
    <row r="144" spans="2:6">
      <c r="C144" s="176" t="s">
        <v>3</v>
      </c>
      <c r="D144" s="172">
        <f>K125</f>
        <v>1530883620.1363988</v>
      </c>
      <c r="E144" s="173">
        <f t="shared" si="52"/>
        <v>153088362.0136399</v>
      </c>
      <c r="F144" s="173">
        <f t="shared" si="53"/>
        <v>15308836.20136399</v>
      </c>
    </row>
    <row r="145" spans="3:6">
      <c r="C145" s="174" t="s">
        <v>86</v>
      </c>
      <c r="D145" s="174">
        <f>SUM(D141:D144)</f>
        <v>5982442687.0722752</v>
      </c>
      <c r="E145" s="174">
        <f t="shared" ref="E145:F145" si="54">SUM(E141:E144)</f>
        <v>598244268.70722759</v>
      </c>
      <c r="F145" s="174">
        <f t="shared" si="54"/>
        <v>59824426.870722756</v>
      </c>
    </row>
  </sheetData>
  <mergeCells count="24">
    <mergeCell ref="B5:D5"/>
    <mergeCell ref="I5:K5"/>
    <mergeCell ref="B18:D18"/>
    <mergeCell ref="I18:K18"/>
    <mergeCell ref="C37:C38"/>
    <mergeCell ref="D37:D38"/>
    <mergeCell ref="E37:E38"/>
    <mergeCell ref="F37:F38"/>
    <mergeCell ref="B55:D55"/>
    <mergeCell ref="I55:K55"/>
    <mergeCell ref="B68:D68"/>
    <mergeCell ref="I68:K68"/>
    <mergeCell ref="C87:C88"/>
    <mergeCell ref="D87:D88"/>
    <mergeCell ref="E87:E88"/>
    <mergeCell ref="F87:F88"/>
    <mergeCell ref="B103:D103"/>
    <mergeCell ref="I103:K103"/>
    <mergeCell ref="B116:D116"/>
    <mergeCell ref="I116:K116"/>
    <mergeCell ref="C135:C136"/>
    <mergeCell ref="D135:D136"/>
    <mergeCell ref="E135:E136"/>
    <mergeCell ref="F135:F13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AC7E-A416-4D46-971E-91C39D4984C0}">
  <dimension ref="A1:BA53"/>
  <sheetViews>
    <sheetView zoomScale="60" zoomScaleNormal="60" workbookViewId="0">
      <selection activeCell="C19" sqref="C19:H19"/>
    </sheetView>
  </sheetViews>
  <sheetFormatPr defaultColWidth="11.453125" defaultRowHeight="14.5"/>
  <cols>
    <col min="1" max="1" width="12.26953125" style="7" customWidth="1"/>
    <col min="2" max="2" width="48.81640625" style="7" customWidth="1"/>
    <col min="3" max="3" width="18.81640625" style="7" customWidth="1"/>
    <col min="4" max="4" width="17.7265625" style="7" bestFit="1" customWidth="1"/>
    <col min="5" max="5" width="16.81640625" style="7" bestFit="1" customWidth="1"/>
    <col min="6" max="6" width="14.453125" style="7" bestFit="1" customWidth="1"/>
    <col min="7" max="8" width="13.453125" style="7" bestFit="1" customWidth="1"/>
    <col min="9" max="53" width="14.453125" style="7" bestFit="1" customWidth="1"/>
    <col min="54" max="16384" width="11.453125" style="7"/>
  </cols>
  <sheetData>
    <row r="1" spans="1:53" ht="15" thickBot="1"/>
    <row r="2" spans="1:53">
      <c r="C2" s="111" t="s">
        <v>65</v>
      </c>
    </row>
    <row r="3" spans="1:53" ht="15" thickBot="1">
      <c r="B3" s="142" t="s">
        <v>69</v>
      </c>
      <c r="C3" s="186">
        <v>0</v>
      </c>
    </row>
    <row r="4" spans="1:53" ht="15" thickBot="1"/>
    <row r="5" spans="1:53">
      <c r="B5" s="143" t="s">
        <v>44</v>
      </c>
      <c r="C5" s="36" t="s">
        <v>22</v>
      </c>
      <c r="D5" s="37">
        <v>2021</v>
      </c>
      <c r="E5" s="39">
        <v>2022</v>
      </c>
      <c r="F5" s="39">
        <v>2023</v>
      </c>
      <c r="G5" s="39">
        <v>2024</v>
      </c>
      <c r="H5" s="40">
        <v>2025</v>
      </c>
      <c r="I5" s="41">
        <v>2026</v>
      </c>
      <c r="J5" s="42">
        <v>2027</v>
      </c>
      <c r="K5" s="42">
        <v>2028</v>
      </c>
      <c r="L5" s="42">
        <v>2029</v>
      </c>
      <c r="M5" s="42">
        <v>2030</v>
      </c>
      <c r="N5" s="42">
        <v>2031</v>
      </c>
      <c r="O5" s="42">
        <v>2032</v>
      </c>
      <c r="P5" s="42">
        <v>2033</v>
      </c>
      <c r="Q5" s="42">
        <v>2034</v>
      </c>
      <c r="R5" s="42">
        <v>2035</v>
      </c>
      <c r="S5" s="42">
        <v>2036</v>
      </c>
      <c r="T5" s="42">
        <v>2037</v>
      </c>
      <c r="U5" s="42">
        <v>2038</v>
      </c>
      <c r="V5" s="42">
        <v>2039</v>
      </c>
      <c r="W5" s="42">
        <v>2040</v>
      </c>
      <c r="X5" s="42">
        <v>2041</v>
      </c>
      <c r="Y5" s="42">
        <v>2042</v>
      </c>
      <c r="Z5" s="42">
        <v>2043</v>
      </c>
      <c r="AA5" s="42">
        <v>2044</v>
      </c>
      <c r="AB5" s="42">
        <v>2045</v>
      </c>
      <c r="AC5" s="42">
        <v>2046</v>
      </c>
      <c r="AD5" s="42">
        <v>2047</v>
      </c>
      <c r="AE5" s="42">
        <v>2048</v>
      </c>
      <c r="AF5" s="42">
        <v>2049</v>
      </c>
      <c r="AG5" s="42">
        <v>2050</v>
      </c>
      <c r="AH5" s="42">
        <v>2051</v>
      </c>
      <c r="AI5" s="42">
        <v>2052</v>
      </c>
      <c r="AJ5" s="42">
        <v>2053</v>
      </c>
      <c r="AK5" s="42">
        <v>2054</v>
      </c>
      <c r="AL5" s="42">
        <v>2055</v>
      </c>
      <c r="AM5" s="42">
        <v>2056</v>
      </c>
      <c r="AN5" s="42">
        <v>2057</v>
      </c>
      <c r="AO5" s="42">
        <v>2058</v>
      </c>
      <c r="AP5" s="42">
        <v>2059</v>
      </c>
      <c r="AQ5" s="42">
        <v>2060</v>
      </c>
      <c r="AR5" s="42">
        <v>2061</v>
      </c>
      <c r="AS5" s="42">
        <v>2062</v>
      </c>
      <c r="AT5" s="42">
        <v>2063</v>
      </c>
      <c r="AU5" s="42">
        <v>2064</v>
      </c>
      <c r="AV5" s="42">
        <v>2065</v>
      </c>
      <c r="AW5" s="42">
        <v>2066</v>
      </c>
      <c r="AX5" s="42">
        <v>2067</v>
      </c>
      <c r="AY5" s="42">
        <v>2068</v>
      </c>
      <c r="AZ5" s="42">
        <v>2069</v>
      </c>
      <c r="BA5" s="42">
        <v>2070</v>
      </c>
    </row>
    <row r="6" spans="1:53">
      <c r="A6" s="32" t="s">
        <v>96</v>
      </c>
      <c r="B6" s="75" t="str">
        <f>'1-CBA'!B7</f>
        <v xml:space="preserve">Investment costs and implementation </v>
      </c>
      <c r="C6" s="43">
        <f>'1-CBA'!C7</f>
        <v>0</v>
      </c>
      <c r="D6" s="44">
        <f>'1-CBA'!D7</f>
        <v>0</v>
      </c>
      <c r="E6" s="46">
        <f>'1-CBA'!E7</f>
        <v>0</v>
      </c>
      <c r="F6" s="46">
        <f>'1-CBA'!F7</f>
        <v>0</v>
      </c>
      <c r="G6" s="46">
        <f>'1-CBA'!G7</f>
        <v>0</v>
      </c>
      <c r="H6" s="47">
        <f>'1-CBA'!H7</f>
        <v>0</v>
      </c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</row>
    <row r="7" spans="1:53">
      <c r="A7" s="48">
        <f>'1-CBA'!A8</f>
        <v>20</v>
      </c>
      <c r="B7" s="144" t="str">
        <f>'1-CBA'!B8</f>
        <v>Observation sytems</v>
      </c>
      <c r="C7" s="145">
        <f>'1-CBA'!C8</f>
        <v>22153500</v>
      </c>
      <c r="D7" s="51">
        <f>'1-CBA'!D8</f>
        <v>2577500</v>
      </c>
      <c r="E7" s="52">
        <f>'1-CBA'!E8</f>
        <v>16805500</v>
      </c>
      <c r="F7" s="52">
        <f>'1-CBA'!F8</f>
        <v>2170500</v>
      </c>
      <c r="G7" s="52">
        <f>'1-CBA'!G8</f>
        <v>300000</v>
      </c>
      <c r="H7" s="53">
        <f>'1-CBA'!H8</f>
        <v>300000</v>
      </c>
      <c r="I7" s="7">
        <f>'1-CBA'!I8</f>
        <v>0</v>
      </c>
      <c r="J7" s="7">
        <f>'1-CBA'!J8</f>
        <v>0</v>
      </c>
      <c r="K7" s="7">
        <f>'1-CBA'!K8</f>
        <v>0</v>
      </c>
      <c r="L7" s="7">
        <f>'1-CBA'!L8</f>
        <v>0</v>
      </c>
      <c r="M7" s="7">
        <f>'1-CBA'!M8</f>
        <v>0</v>
      </c>
      <c r="N7" s="7">
        <f>'1-CBA'!N8</f>
        <v>0</v>
      </c>
      <c r="O7" s="7">
        <f>'1-CBA'!O8</f>
        <v>0</v>
      </c>
      <c r="P7" s="7">
        <f>'1-CBA'!P8</f>
        <v>0</v>
      </c>
      <c r="Q7" s="7">
        <f>'1-CBA'!Q8</f>
        <v>0</v>
      </c>
      <c r="R7" s="7">
        <f>'1-CBA'!R8</f>
        <v>0</v>
      </c>
      <c r="S7" s="7">
        <f>'1-CBA'!S8</f>
        <v>0</v>
      </c>
      <c r="T7" s="7">
        <f>'1-CBA'!T8</f>
        <v>0</v>
      </c>
      <c r="U7" s="7">
        <f>'1-CBA'!U8</f>
        <v>0</v>
      </c>
      <c r="V7" s="7">
        <f>'1-CBA'!V8</f>
        <v>0</v>
      </c>
      <c r="W7" s="7">
        <f>'1-CBA'!W8</f>
        <v>0</v>
      </c>
      <c r="X7" s="7">
        <f>'1-CBA'!X8</f>
        <v>0</v>
      </c>
      <c r="Y7" s="7">
        <f>'1-CBA'!Y8</f>
        <v>0</v>
      </c>
      <c r="Z7" s="7">
        <f>'1-CBA'!Z8</f>
        <v>0</v>
      </c>
      <c r="AA7" s="7">
        <f>'1-CBA'!AA8</f>
        <v>0</v>
      </c>
      <c r="AB7" s="7">
        <f>'1-CBA'!AB8</f>
        <v>0</v>
      </c>
      <c r="AC7" s="7">
        <f>'1-CBA'!AC8</f>
        <v>0</v>
      </c>
      <c r="AD7" s="7">
        <f>'1-CBA'!AD8</f>
        <v>0</v>
      </c>
      <c r="AE7" s="7">
        <f>'1-CBA'!AE8</f>
        <v>0</v>
      </c>
      <c r="AF7" s="7">
        <f>'1-CBA'!AF8</f>
        <v>0</v>
      </c>
      <c r="AG7" s="7">
        <f>'1-CBA'!AG8</f>
        <v>0</v>
      </c>
      <c r="AH7" s="7">
        <f>'1-CBA'!AH8</f>
        <v>0</v>
      </c>
      <c r="AI7" s="7">
        <f>'1-CBA'!AI8</f>
        <v>0</v>
      </c>
      <c r="AJ7" s="7">
        <f>'1-CBA'!AJ8</f>
        <v>0</v>
      </c>
      <c r="AK7" s="7">
        <f>'1-CBA'!AK8</f>
        <v>0</v>
      </c>
      <c r="AL7" s="7">
        <f>'1-CBA'!AL8</f>
        <v>0</v>
      </c>
      <c r="AM7" s="7">
        <f>'1-CBA'!AM8</f>
        <v>0</v>
      </c>
      <c r="AN7" s="7">
        <f>'1-CBA'!AN8</f>
        <v>0</v>
      </c>
      <c r="AO7" s="7">
        <f>'1-CBA'!AO8</f>
        <v>0</v>
      </c>
      <c r="AP7" s="7">
        <f>'1-CBA'!AP8</f>
        <v>0</v>
      </c>
      <c r="AQ7" s="7">
        <f>'1-CBA'!AQ8</f>
        <v>0</v>
      </c>
      <c r="AR7" s="7">
        <f>'1-CBA'!AR8</f>
        <v>0</v>
      </c>
      <c r="AS7" s="7">
        <f>'1-CBA'!AS8</f>
        <v>0</v>
      </c>
      <c r="AT7" s="7">
        <f>'1-CBA'!AT8</f>
        <v>0</v>
      </c>
      <c r="AU7" s="7">
        <f>'1-CBA'!AU8</f>
        <v>0</v>
      </c>
      <c r="AV7" s="7">
        <f>'1-CBA'!AV8</f>
        <v>0</v>
      </c>
      <c r="AW7" s="7">
        <f>'1-CBA'!AW8</f>
        <v>0</v>
      </c>
      <c r="AX7" s="7">
        <f>'1-CBA'!AX8</f>
        <v>0</v>
      </c>
      <c r="AY7" s="7">
        <f>'1-CBA'!AY8</f>
        <v>0</v>
      </c>
      <c r="AZ7" s="7">
        <f>'1-CBA'!AZ8</f>
        <v>0</v>
      </c>
      <c r="BA7" s="7">
        <f>'1-CBA'!BA8</f>
        <v>0</v>
      </c>
    </row>
    <row r="8" spans="1:53">
      <c r="A8" s="48">
        <f>'1-CBA'!A9</f>
        <v>10</v>
      </c>
      <c r="B8" s="144" t="str">
        <f>'1-CBA'!B9</f>
        <v>Information systems</v>
      </c>
      <c r="C8" s="145">
        <f>'1-CBA'!C9</f>
        <v>12520000</v>
      </c>
      <c r="D8" s="51">
        <f>'1-CBA'!D9</f>
        <v>2940000</v>
      </c>
      <c r="E8" s="52">
        <f>'1-CBA'!E9</f>
        <v>8615000</v>
      </c>
      <c r="F8" s="52">
        <f>'1-CBA'!F9</f>
        <v>965000</v>
      </c>
      <c r="G8" s="52">
        <f>'1-CBA'!G9</f>
        <v>0</v>
      </c>
      <c r="H8" s="53">
        <f>'1-CBA'!H9</f>
        <v>0</v>
      </c>
      <c r="I8" s="7">
        <f>'1-CBA'!I9</f>
        <v>0</v>
      </c>
      <c r="J8" s="7">
        <f>'1-CBA'!J9</f>
        <v>0</v>
      </c>
      <c r="K8" s="7">
        <f>'1-CBA'!K9</f>
        <v>0</v>
      </c>
      <c r="L8" s="7">
        <f>'1-CBA'!L9</f>
        <v>0</v>
      </c>
      <c r="M8" s="7">
        <f>'1-CBA'!M9</f>
        <v>0</v>
      </c>
      <c r="N8" s="7">
        <f>'1-CBA'!N9</f>
        <v>0</v>
      </c>
      <c r="O8" s="7">
        <f>'1-CBA'!O9</f>
        <v>0</v>
      </c>
      <c r="P8" s="7">
        <f>'1-CBA'!P9</f>
        <v>0</v>
      </c>
      <c r="Q8" s="7">
        <f>'1-CBA'!Q9</f>
        <v>0</v>
      </c>
      <c r="R8" s="7">
        <f>'1-CBA'!R9</f>
        <v>0</v>
      </c>
      <c r="S8" s="7">
        <f>'1-CBA'!S9</f>
        <v>0</v>
      </c>
      <c r="T8" s="7">
        <f>'1-CBA'!T9</f>
        <v>0</v>
      </c>
      <c r="U8" s="7">
        <f>'1-CBA'!U9</f>
        <v>0</v>
      </c>
      <c r="V8" s="7">
        <f>'1-CBA'!V9</f>
        <v>0</v>
      </c>
      <c r="W8" s="7">
        <f>'1-CBA'!W9</f>
        <v>0</v>
      </c>
      <c r="X8" s="7">
        <f>'1-CBA'!X9</f>
        <v>0</v>
      </c>
      <c r="Y8" s="7">
        <f>'1-CBA'!Y9</f>
        <v>0</v>
      </c>
      <c r="Z8" s="7">
        <f>'1-CBA'!Z9</f>
        <v>0</v>
      </c>
      <c r="AA8" s="7">
        <f>'1-CBA'!AA9</f>
        <v>0</v>
      </c>
      <c r="AB8" s="7">
        <f>'1-CBA'!AB9</f>
        <v>0</v>
      </c>
      <c r="AC8" s="7">
        <f>'1-CBA'!AC9</f>
        <v>0</v>
      </c>
      <c r="AD8" s="7">
        <f>'1-CBA'!AD9</f>
        <v>0</v>
      </c>
      <c r="AE8" s="7">
        <f>'1-CBA'!AE9</f>
        <v>0</v>
      </c>
      <c r="AF8" s="7">
        <f>'1-CBA'!AF9</f>
        <v>0</v>
      </c>
      <c r="AG8" s="7">
        <f>'1-CBA'!AG9</f>
        <v>0</v>
      </c>
      <c r="AH8" s="7">
        <f>'1-CBA'!AH9</f>
        <v>0</v>
      </c>
      <c r="AI8" s="7">
        <f>'1-CBA'!AI9</f>
        <v>0</v>
      </c>
      <c r="AJ8" s="7">
        <f>'1-CBA'!AJ9</f>
        <v>0</v>
      </c>
      <c r="AK8" s="7">
        <f>'1-CBA'!AK9</f>
        <v>0</v>
      </c>
      <c r="AL8" s="7">
        <f>'1-CBA'!AL9</f>
        <v>0</v>
      </c>
      <c r="AM8" s="7">
        <f>'1-CBA'!AM9</f>
        <v>0</v>
      </c>
      <c r="AN8" s="7">
        <f>'1-CBA'!AN9</f>
        <v>0</v>
      </c>
      <c r="AO8" s="7">
        <f>'1-CBA'!AO9</f>
        <v>0</v>
      </c>
      <c r="AP8" s="7">
        <f>'1-CBA'!AP9</f>
        <v>0</v>
      </c>
      <c r="AQ8" s="7">
        <f>'1-CBA'!AQ9</f>
        <v>0</v>
      </c>
      <c r="AR8" s="7">
        <f>'1-CBA'!AR9</f>
        <v>0</v>
      </c>
      <c r="AS8" s="7">
        <f>'1-CBA'!AS9</f>
        <v>0</v>
      </c>
      <c r="AT8" s="7">
        <f>'1-CBA'!AT9</f>
        <v>0</v>
      </c>
      <c r="AU8" s="7">
        <f>'1-CBA'!AU9</f>
        <v>0</v>
      </c>
      <c r="AV8" s="7">
        <f>'1-CBA'!AV9</f>
        <v>0</v>
      </c>
      <c r="AW8" s="7">
        <f>'1-CBA'!AW9</f>
        <v>0</v>
      </c>
      <c r="AX8" s="7">
        <f>'1-CBA'!AX9</f>
        <v>0</v>
      </c>
      <c r="AY8" s="7">
        <f>'1-CBA'!AY9</f>
        <v>0</v>
      </c>
      <c r="AZ8" s="7">
        <f>'1-CBA'!AZ9</f>
        <v>0</v>
      </c>
      <c r="BA8" s="7">
        <f>'1-CBA'!BA9</f>
        <v>0</v>
      </c>
    </row>
    <row r="9" spans="1:53">
      <c r="A9" s="48">
        <f>'1-CBA'!A10</f>
        <v>0</v>
      </c>
      <c r="B9" s="144" t="str">
        <f>'1-CBA'!B10</f>
        <v>Capacity building &amp; training</v>
      </c>
      <c r="C9" s="145">
        <f>'1-CBA'!C10</f>
        <v>11636000</v>
      </c>
      <c r="D9" s="51">
        <f>'1-CBA'!D10</f>
        <v>3484000</v>
      </c>
      <c r="E9" s="52">
        <f>'1-CBA'!E10</f>
        <v>4270000</v>
      </c>
      <c r="F9" s="52">
        <f>'1-CBA'!F10</f>
        <v>1736000</v>
      </c>
      <c r="G9" s="52">
        <f>'1-CBA'!G10</f>
        <v>1123000</v>
      </c>
      <c r="H9" s="53">
        <f>'1-CBA'!H10</f>
        <v>1023000</v>
      </c>
      <c r="I9" s="7">
        <f>'1-CBA'!I10</f>
        <v>0</v>
      </c>
      <c r="J9" s="7">
        <f>'1-CBA'!J10</f>
        <v>0</v>
      </c>
      <c r="K9" s="7">
        <f>'1-CBA'!K10</f>
        <v>0</v>
      </c>
      <c r="L9" s="7">
        <f>'1-CBA'!L10</f>
        <v>0</v>
      </c>
      <c r="M9" s="7">
        <f>'1-CBA'!M10</f>
        <v>0</v>
      </c>
      <c r="N9" s="7">
        <f>'1-CBA'!N10</f>
        <v>0</v>
      </c>
      <c r="O9" s="7">
        <f>'1-CBA'!O10</f>
        <v>0</v>
      </c>
      <c r="P9" s="7">
        <f>'1-CBA'!P10</f>
        <v>0</v>
      </c>
      <c r="Q9" s="7">
        <f>'1-CBA'!Q10</f>
        <v>0</v>
      </c>
      <c r="R9" s="7">
        <f>'1-CBA'!R10</f>
        <v>0</v>
      </c>
      <c r="S9" s="7">
        <f>'1-CBA'!S10</f>
        <v>0</v>
      </c>
      <c r="T9" s="7">
        <f>'1-CBA'!T10</f>
        <v>0</v>
      </c>
      <c r="U9" s="7">
        <f>'1-CBA'!U10</f>
        <v>0</v>
      </c>
      <c r="V9" s="7">
        <f>'1-CBA'!V10</f>
        <v>0</v>
      </c>
      <c r="W9" s="7">
        <f>'1-CBA'!W10</f>
        <v>0</v>
      </c>
      <c r="X9" s="7">
        <f>'1-CBA'!X10</f>
        <v>0</v>
      </c>
      <c r="Y9" s="7">
        <f>'1-CBA'!Y10</f>
        <v>0</v>
      </c>
      <c r="Z9" s="7">
        <f>'1-CBA'!Z10</f>
        <v>0</v>
      </c>
      <c r="AA9" s="7">
        <f>'1-CBA'!AA10</f>
        <v>0</v>
      </c>
      <c r="AB9" s="7">
        <f>'1-CBA'!AB10</f>
        <v>0</v>
      </c>
      <c r="AC9" s="7">
        <f>'1-CBA'!AC10</f>
        <v>0</v>
      </c>
      <c r="AD9" s="7">
        <f>'1-CBA'!AD10</f>
        <v>0</v>
      </c>
      <c r="AE9" s="7">
        <f>'1-CBA'!AE10</f>
        <v>0</v>
      </c>
      <c r="AF9" s="7">
        <f>'1-CBA'!AF10</f>
        <v>0</v>
      </c>
      <c r="AG9" s="7">
        <f>'1-CBA'!AG10</f>
        <v>0</v>
      </c>
      <c r="AH9" s="7">
        <f>'1-CBA'!AH10</f>
        <v>0</v>
      </c>
      <c r="AI9" s="7">
        <f>'1-CBA'!AI10</f>
        <v>0</v>
      </c>
      <c r="AJ9" s="7">
        <f>'1-CBA'!AJ10</f>
        <v>0</v>
      </c>
      <c r="AK9" s="7">
        <f>'1-CBA'!AK10</f>
        <v>0</v>
      </c>
      <c r="AL9" s="7">
        <f>'1-CBA'!AL10</f>
        <v>0</v>
      </c>
      <c r="AM9" s="7">
        <f>'1-CBA'!AM10</f>
        <v>0</v>
      </c>
      <c r="AN9" s="7">
        <f>'1-CBA'!AN10</f>
        <v>0</v>
      </c>
      <c r="AO9" s="7">
        <f>'1-CBA'!AO10</f>
        <v>0</v>
      </c>
      <c r="AP9" s="7">
        <f>'1-CBA'!AP10</f>
        <v>0</v>
      </c>
      <c r="AQ9" s="7">
        <f>'1-CBA'!AQ10</f>
        <v>0</v>
      </c>
      <c r="AR9" s="7">
        <f>'1-CBA'!AR10</f>
        <v>0</v>
      </c>
      <c r="AS9" s="7">
        <f>'1-CBA'!AS10</f>
        <v>0</v>
      </c>
      <c r="AT9" s="7">
        <f>'1-CBA'!AT10</f>
        <v>0</v>
      </c>
      <c r="AU9" s="7">
        <f>'1-CBA'!AU10</f>
        <v>0</v>
      </c>
      <c r="AV9" s="7">
        <f>'1-CBA'!AV10</f>
        <v>0</v>
      </c>
      <c r="AW9" s="7">
        <f>'1-CBA'!AW10</f>
        <v>0</v>
      </c>
      <c r="AX9" s="7">
        <f>'1-CBA'!AX10</f>
        <v>0</v>
      </c>
      <c r="AY9" s="7">
        <f>'1-CBA'!AY10</f>
        <v>0</v>
      </c>
      <c r="AZ9" s="7">
        <f>'1-CBA'!AZ10</f>
        <v>0</v>
      </c>
      <c r="BA9" s="7">
        <f>'1-CBA'!BA10</f>
        <v>0</v>
      </c>
    </row>
    <row r="10" spans="1:53">
      <c r="A10" s="48">
        <f>'1-CBA'!A11</f>
        <v>0</v>
      </c>
      <c r="B10" s="144" t="str">
        <f>'1-CBA'!B11</f>
        <v>Management</v>
      </c>
      <c r="C10" s="145">
        <f>'1-CBA'!C11</f>
        <v>5837000</v>
      </c>
      <c r="D10" s="51">
        <f>'1-CBA'!D11</f>
        <v>1085000</v>
      </c>
      <c r="E10" s="52">
        <f>'1-CBA'!E11</f>
        <v>1135000</v>
      </c>
      <c r="F10" s="52">
        <f>'1-CBA'!F11</f>
        <v>2213000</v>
      </c>
      <c r="G10" s="52">
        <f>'1-CBA'!G11</f>
        <v>702000</v>
      </c>
      <c r="H10" s="53">
        <f>'1-CBA'!H11</f>
        <v>702000</v>
      </c>
      <c r="I10" s="7">
        <f>'1-CBA'!I11</f>
        <v>0</v>
      </c>
      <c r="J10" s="7">
        <f>'1-CBA'!J11</f>
        <v>0</v>
      </c>
      <c r="K10" s="7">
        <f>'1-CBA'!K11</f>
        <v>0</v>
      </c>
      <c r="L10" s="7">
        <f>'1-CBA'!L11</f>
        <v>0</v>
      </c>
      <c r="M10" s="7">
        <f>'1-CBA'!M11</f>
        <v>0</v>
      </c>
      <c r="N10" s="7">
        <f>'1-CBA'!N11</f>
        <v>0</v>
      </c>
      <c r="O10" s="7">
        <f>'1-CBA'!O11</f>
        <v>0</v>
      </c>
      <c r="P10" s="7">
        <f>'1-CBA'!P11</f>
        <v>0</v>
      </c>
      <c r="Q10" s="7">
        <f>'1-CBA'!Q11</f>
        <v>0</v>
      </c>
      <c r="R10" s="7">
        <f>'1-CBA'!R11</f>
        <v>0</v>
      </c>
      <c r="S10" s="7">
        <f>'1-CBA'!S11</f>
        <v>0</v>
      </c>
      <c r="T10" s="7">
        <f>'1-CBA'!T11</f>
        <v>0</v>
      </c>
      <c r="U10" s="7">
        <f>'1-CBA'!U11</f>
        <v>0</v>
      </c>
      <c r="V10" s="7">
        <f>'1-CBA'!V11</f>
        <v>0</v>
      </c>
      <c r="W10" s="7">
        <f>'1-CBA'!W11</f>
        <v>0</v>
      </c>
      <c r="X10" s="7">
        <f>'1-CBA'!X11</f>
        <v>0</v>
      </c>
      <c r="Y10" s="7">
        <f>'1-CBA'!Y11</f>
        <v>0</v>
      </c>
      <c r="Z10" s="7">
        <f>'1-CBA'!Z11</f>
        <v>0</v>
      </c>
      <c r="AA10" s="7">
        <f>'1-CBA'!AA11</f>
        <v>0</v>
      </c>
      <c r="AB10" s="7">
        <f>'1-CBA'!AB11</f>
        <v>0</v>
      </c>
      <c r="AC10" s="7">
        <f>'1-CBA'!AC11</f>
        <v>0</v>
      </c>
      <c r="AD10" s="7">
        <f>'1-CBA'!AD11</f>
        <v>0</v>
      </c>
      <c r="AE10" s="7">
        <f>'1-CBA'!AE11</f>
        <v>0</v>
      </c>
      <c r="AF10" s="7">
        <f>'1-CBA'!AF11</f>
        <v>0</v>
      </c>
      <c r="AG10" s="7">
        <f>'1-CBA'!AG11</f>
        <v>0</v>
      </c>
      <c r="AH10" s="7">
        <f>'1-CBA'!AH11</f>
        <v>0</v>
      </c>
      <c r="AI10" s="7">
        <f>'1-CBA'!AI11</f>
        <v>0</v>
      </c>
      <c r="AJ10" s="7">
        <f>'1-CBA'!AJ11</f>
        <v>0</v>
      </c>
      <c r="AK10" s="7">
        <f>'1-CBA'!AK11</f>
        <v>0</v>
      </c>
      <c r="AL10" s="7">
        <f>'1-CBA'!AL11</f>
        <v>0</v>
      </c>
      <c r="AM10" s="7">
        <f>'1-CBA'!AM11</f>
        <v>0</v>
      </c>
      <c r="AN10" s="7">
        <f>'1-CBA'!AN11</f>
        <v>0</v>
      </c>
      <c r="AO10" s="7">
        <f>'1-CBA'!AO11</f>
        <v>0</v>
      </c>
      <c r="AP10" s="7">
        <f>'1-CBA'!AP11</f>
        <v>0</v>
      </c>
      <c r="AQ10" s="7">
        <f>'1-CBA'!AQ11</f>
        <v>0</v>
      </c>
      <c r="AR10" s="7">
        <f>'1-CBA'!AR11</f>
        <v>0</v>
      </c>
      <c r="AS10" s="7">
        <f>'1-CBA'!AS11</f>
        <v>0</v>
      </c>
      <c r="AT10" s="7">
        <f>'1-CBA'!AT11</f>
        <v>0</v>
      </c>
      <c r="AU10" s="7">
        <f>'1-CBA'!AU11</f>
        <v>0</v>
      </c>
      <c r="AV10" s="7">
        <f>'1-CBA'!AV11</f>
        <v>0</v>
      </c>
      <c r="AW10" s="7">
        <f>'1-CBA'!AW11</f>
        <v>0</v>
      </c>
      <c r="AX10" s="7">
        <f>'1-CBA'!AX11</f>
        <v>0</v>
      </c>
      <c r="AY10" s="7">
        <f>'1-CBA'!AY11</f>
        <v>0</v>
      </c>
      <c r="AZ10" s="7">
        <f>'1-CBA'!AZ11</f>
        <v>0</v>
      </c>
      <c r="BA10" s="7">
        <f>'1-CBA'!BA11</f>
        <v>0</v>
      </c>
    </row>
    <row r="11" spans="1:53">
      <c r="A11" s="48">
        <f>'1-CBA'!A12</f>
        <v>0</v>
      </c>
      <c r="B11" s="146" t="str">
        <f>'1-CBA'!B12</f>
        <v xml:space="preserve">Agri-climatic services </v>
      </c>
      <c r="C11" s="145">
        <f>'1-CBA'!C12</f>
        <v>7930000</v>
      </c>
      <c r="D11" s="51">
        <f>'1-CBA'!D12</f>
        <v>1690000</v>
      </c>
      <c r="E11" s="52">
        <f>'1-CBA'!E12</f>
        <v>3165000</v>
      </c>
      <c r="F11" s="52">
        <f>'1-CBA'!F12</f>
        <v>1575000</v>
      </c>
      <c r="G11" s="52">
        <f>'1-CBA'!G12</f>
        <v>1200000</v>
      </c>
      <c r="H11" s="53">
        <f>'1-CBA'!H12</f>
        <v>300000</v>
      </c>
      <c r="I11" s="7">
        <f>'1-CBA'!I12</f>
        <v>0</v>
      </c>
      <c r="J11" s="7">
        <f>'1-CBA'!J12</f>
        <v>0</v>
      </c>
      <c r="K11" s="7">
        <f>'1-CBA'!K12</f>
        <v>0</v>
      </c>
      <c r="L11" s="7">
        <f>'1-CBA'!L12</f>
        <v>0</v>
      </c>
      <c r="M11" s="7">
        <f>'1-CBA'!M12</f>
        <v>0</v>
      </c>
      <c r="N11" s="7">
        <f>'1-CBA'!N12</f>
        <v>0</v>
      </c>
      <c r="O11" s="7">
        <f>'1-CBA'!O12</f>
        <v>0</v>
      </c>
      <c r="P11" s="7">
        <f>'1-CBA'!P12</f>
        <v>0</v>
      </c>
      <c r="Q11" s="7">
        <f>'1-CBA'!Q12</f>
        <v>0</v>
      </c>
      <c r="R11" s="7">
        <f>'1-CBA'!R12</f>
        <v>0</v>
      </c>
      <c r="S11" s="7">
        <f>'1-CBA'!S12</f>
        <v>0</v>
      </c>
      <c r="T11" s="7">
        <f>'1-CBA'!T12</f>
        <v>0</v>
      </c>
      <c r="U11" s="7">
        <f>'1-CBA'!U12</f>
        <v>0</v>
      </c>
      <c r="V11" s="7">
        <f>'1-CBA'!V12</f>
        <v>0</v>
      </c>
      <c r="W11" s="7">
        <f>'1-CBA'!W12</f>
        <v>0</v>
      </c>
      <c r="X11" s="7">
        <f>'1-CBA'!X12</f>
        <v>0</v>
      </c>
      <c r="Y11" s="7">
        <f>'1-CBA'!Y12</f>
        <v>0</v>
      </c>
      <c r="Z11" s="7">
        <f>'1-CBA'!Z12</f>
        <v>0</v>
      </c>
      <c r="AA11" s="7">
        <f>'1-CBA'!AA12</f>
        <v>0</v>
      </c>
      <c r="AB11" s="7">
        <f>'1-CBA'!AB12</f>
        <v>0</v>
      </c>
      <c r="AC11" s="7">
        <f>'1-CBA'!AC12</f>
        <v>0</v>
      </c>
      <c r="AD11" s="7">
        <f>'1-CBA'!AD12</f>
        <v>0</v>
      </c>
      <c r="AE11" s="7">
        <f>'1-CBA'!AE12</f>
        <v>0</v>
      </c>
      <c r="AF11" s="7">
        <f>'1-CBA'!AF12</f>
        <v>0</v>
      </c>
      <c r="AG11" s="7">
        <f>'1-CBA'!AG12</f>
        <v>0</v>
      </c>
      <c r="AH11" s="7">
        <f>'1-CBA'!AH12</f>
        <v>0</v>
      </c>
      <c r="AI11" s="7">
        <f>'1-CBA'!AI12</f>
        <v>0</v>
      </c>
      <c r="AJ11" s="7">
        <f>'1-CBA'!AJ12</f>
        <v>0</v>
      </c>
      <c r="AK11" s="7">
        <f>'1-CBA'!AK12</f>
        <v>0</v>
      </c>
      <c r="AL11" s="7">
        <f>'1-CBA'!AL12</f>
        <v>0</v>
      </c>
      <c r="AM11" s="7">
        <f>'1-CBA'!AM12</f>
        <v>0</v>
      </c>
      <c r="AN11" s="7">
        <f>'1-CBA'!AN12</f>
        <v>0</v>
      </c>
      <c r="AO11" s="7">
        <f>'1-CBA'!AO12</f>
        <v>0</v>
      </c>
      <c r="AP11" s="7">
        <f>'1-CBA'!AP12</f>
        <v>0</v>
      </c>
      <c r="AQ11" s="7">
        <f>'1-CBA'!AQ12</f>
        <v>0</v>
      </c>
      <c r="AR11" s="7">
        <f>'1-CBA'!AR12</f>
        <v>0</v>
      </c>
      <c r="AS11" s="7">
        <f>'1-CBA'!AS12</f>
        <v>0</v>
      </c>
      <c r="AT11" s="7">
        <f>'1-CBA'!AT12</f>
        <v>0</v>
      </c>
      <c r="AU11" s="7">
        <f>'1-CBA'!AU12</f>
        <v>0</v>
      </c>
      <c r="AV11" s="7">
        <f>'1-CBA'!AV12</f>
        <v>0</v>
      </c>
      <c r="AW11" s="7">
        <f>'1-CBA'!AW12</f>
        <v>0</v>
      </c>
      <c r="AX11" s="7">
        <f>'1-CBA'!AX12</f>
        <v>0</v>
      </c>
      <c r="AY11" s="7">
        <f>'1-CBA'!AY12</f>
        <v>0</v>
      </c>
      <c r="AZ11" s="7">
        <f>'1-CBA'!AZ12</f>
        <v>0</v>
      </c>
      <c r="BA11" s="7">
        <f>'1-CBA'!BA12</f>
        <v>0</v>
      </c>
    </row>
    <row r="12" spans="1:53">
      <c r="A12" s="48">
        <f>'1-CBA'!A13</f>
        <v>0</v>
      </c>
      <c r="B12" s="144" t="str">
        <f>'1-CBA'!B13</f>
        <v xml:space="preserve">Other climate services </v>
      </c>
      <c r="C12" s="145">
        <f>'1-CBA'!C13</f>
        <v>9990000</v>
      </c>
      <c r="D12" s="51">
        <f>'1-CBA'!D13</f>
        <v>2000000</v>
      </c>
      <c r="E12" s="52">
        <f>'1-CBA'!E13</f>
        <v>3350000</v>
      </c>
      <c r="F12" s="52">
        <f>'1-CBA'!F13</f>
        <v>3380000</v>
      </c>
      <c r="G12" s="52">
        <f>'1-CBA'!G13</f>
        <v>1180000</v>
      </c>
      <c r="H12" s="53">
        <f>'1-CBA'!H13</f>
        <v>80000</v>
      </c>
      <c r="I12" s="7">
        <f>'1-CBA'!I13</f>
        <v>0</v>
      </c>
      <c r="J12" s="7">
        <f>'1-CBA'!J13</f>
        <v>0</v>
      </c>
      <c r="K12" s="7">
        <f>'1-CBA'!K13</f>
        <v>0</v>
      </c>
      <c r="L12" s="7">
        <f>'1-CBA'!L13</f>
        <v>0</v>
      </c>
      <c r="M12" s="7">
        <f>'1-CBA'!M13</f>
        <v>0</v>
      </c>
      <c r="N12" s="7">
        <f>'1-CBA'!N13</f>
        <v>0</v>
      </c>
      <c r="O12" s="7">
        <f>'1-CBA'!O13</f>
        <v>0</v>
      </c>
      <c r="P12" s="7">
        <f>'1-CBA'!P13</f>
        <v>0</v>
      </c>
      <c r="Q12" s="7">
        <f>'1-CBA'!Q13</f>
        <v>0</v>
      </c>
      <c r="R12" s="7">
        <f>'1-CBA'!R13</f>
        <v>0</v>
      </c>
      <c r="S12" s="7">
        <f>'1-CBA'!S13</f>
        <v>0</v>
      </c>
      <c r="T12" s="7">
        <f>'1-CBA'!T13</f>
        <v>0</v>
      </c>
      <c r="U12" s="7">
        <f>'1-CBA'!U13</f>
        <v>0</v>
      </c>
      <c r="V12" s="7">
        <f>'1-CBA'!V13</f>
        <v>0</v>
      </c>
      <c r="W12" s="7">
        <f>'1-CBA'!W13</f>
        <v>0</v>
      </c>
      <c r="X12" s="7">
        <f>'1-CBA'!X13</f>
        <v>0</v>
      </c>
      <c r="Y12" s="7">
        <f>'1-CBA'!Y13</f>
        <v>0</v>
      </c>
      <c r="Z12" s="7">
        <f>'1-CBA'!Z13</f>
        <v>0</v>
      </c>
      <c r="AA12" s="7">
        <f>'1-CBA'!AA13</f>
        <v>0</v>
      </c>
      <c r="AB12" s="7">
        <f>'1-CBA'!AB13</f>
        <v>0</v>
      </c>
      <c r="AC12" s="7">
        <f>'1-CBA'!AC13</f>
        <v>0</v>
      </c>
      <c r="AD12" s="7">
        <f>'1-CBA'!AD13</f>
        <v>0</v>
      </c>
      <c r="AE12" s="7">
        <f>'1-CBA'!AE13</f>
        <v>0</v>
      </c>
      <c r="AF12" s="7">
        <f>'1-CBA'!AF13</f>
        <v>0</v>
      </c>
      <c r="AG12" s="7">
        <f>'1-CBA'!AG13</f>
        <v>0</v>
      </c>
      <c r="AH12" s="7">
        <f>'1-CBA'!AH13</f>
        <v>0</v>
      </c>
      <c r="AI12" s="7">
        <f>'1-CBA'!AI13</f>
        <v>0</v>
      </c>
      <c r="AJ12" s="7">
        <f>'1-CBA'!AJ13</f>
        <v>0</v>
      </c>
      <c r="AK12" s="7">
        <f>'1-CBA'!AK13</f>
        <v>0</v>
      </c>
      <c r="AL12" s="7">
        <f>'1-CBA'!AL13</f>
        <v>0</v>
      </c>
      <c r="AM12" s="7">
        <f>'1-CBA'!AM13</f>
        <v>0</v>
      </c>
      <c r="AN12" s="7">
        <f>'1-CBA'!AN13</f>
        <v>0</v>
      </c>
      <c r="AO12" s="7">
        <f>'1-CBA'!AO13</f>
        <v>0</v>
      </c>
      <c r="AP12" s="7">
        <f>'1-CBA'!AP13</f>
        <v>0</v>
      </c>
      <c r="AQ12" s="7">
        <f>'1-CBA'!AQ13</f>
        <v>0</v>
      </c>
      <c r="AR12" s="7">
        <f>'1-CBA'!AR13</f>
        <v>0</v>
      </c>
      <c r="AS12" s="7">
        <f>'1-CBA'!AS13</f>
        <v>0</v>
      </c>
      <c r="AT12" s="7">
        <f>'1-CBA'!AT13</f>
        <v>0</v>
      </c>
      <c r="AU12" s="7">
        <f>'1-CBA'!AU13</f>
        <v>0</v>
      </c>
      <c r="AV12" s="7">
        <f>'1-CBA'!AV13</f>
        <v>0</v>
      </c>
      <c r="AW12" s="7">
        <f>'1-CBA'!AW13</f>
        <v>0</v>
      </c>
      <c r="AX12" s="7">
        <f>'1-CBA'!AX13</f>
        <v>0</v>
      </c>
      <c r="AY12" s="7">
        <f>'1-CBA'!AY13</f>
        <v>0</v>
      </c>
      <c r="AZ12" s="7">
        <f>'1-CBA'!AZ13</f>
        <v>0</v>
      </c>
      <c r="BA12" s="7">
        <f>'1-CBA'!BA13</f>
        <v>0</v>
      </c>
    </row>
    <row r="13" spans="1:53">
      <c r="A13" s="48"/>
      <c r="B13" s="271" t="str">
        <f>'1-CBA'!B14</f>
        <v>Renew Investments</v>
      </c>
      <c r="C13" s="145">
        <f>'1-CBA'!C14</f>
        <v>0</v>
      </c>
      <c r="D13" s="51">
        <f>'1-CBA'!D14</f>
        <v>0</v>
      </c>
      <c r="E13" s="52">
        <f>'1-CBA'!E14</f>
        <v>0</v>
      </c>
      <c r="F13" s="52">
        <f>'1-CBA'!F14</f>
        <v>0</v>
      </c>
      <c r="G13" s="52">
        <f>'1-CBA'!G14</f>
        <v>0</v>
      </c>
      <c r="H13" s="53">
        <f>'1-CBA'!H14</f>
        <v>0</v>
      </c>
      <c r="I13" s="7">
        <f>'1-CBA'!I14</f>
        <v>0</v>
      </c>
      <c r="J13" s="7">
        <f>'1-CBA'!J14</f>
        <v>180773.72861719999</v>
      </c>
      <c r="K13" s="7">
        <f>'1-CBA'!K14</f>
        <v>372057.55773539993</v>
      </c>
      <c r="L13" s="7">
        <f>'1-CBA'!L14</f>
        <v>0</v>
      </c>
      <c r="M13" s="7">
        <f>'1-CBA'!M14</f>
        <v>0</v>
      </c>
      <c r="N13" s="7">
        <f>'1-CBA'!N14</f>
        <v>0</v>
      </c>
      <c r="O13" s="7">
        <f>'1-CBA'!O14</f>
        <v>189995.00557072714</v>
      </c>
      <c r="P13" s="7">
        <f>'1-CBA'!P14</f>
        <v>5462908.7212211136</v>
      </c>
      <c r="Q13" s="7">
        <f>'1-CBA'!Q14</f>
        <v>12820796.698585151</v>
      </c>
      <c r="R13" s="7">
        <f>'1-CBA'!R14</f>
        <v>2882511.4362605382</v>
      </c>
      <c r="S13" s="7">
        <f>'1-CBA'!S14</f>
        <v>331386.63762336143</v>
      </c>
      <c r="T13" s="7">
        <f>'1-CBA'!T14</f>
        <v>531073.29794700106</v>
      </c>
      <c r="U13" s="7">
        <f>'1-CBA'!U14</f>
        <v>1114530.1971551985</v>
      </c>
      <c r="V13" s="7">
        <f>'1-CBA'!V14</f>
        <v>756951.75890123891</v>
      </c>
      <c r="W13" s="7">
        <f>'1-CBA'!W14</f>
        <v>0</v>
      </c>
      <c r="X13" s="7">
        <f>'1-CBA'!X14</f>
        <v>199686.66032363969</v>
      </c>
      <c r="Y13" s="7">
        <f>'1-CBA'!Y14</f>
        <v>209872.68687105022</v>
      </c>
      <c r="Z13" s="7">
        <f>'1-CBA'!Z14</f>
        <v>12567957.411464062</v>
      </c>
      <c r="AA13" s="7">
        <f>'1-CBA'!AA14</f>
        <v>209872.68687105022</v>
      </c>
      <c r="AB13" s="7">
        <f>'1-CBA'!AB14</f>
        <v>5976665.8852942903</v>
      </c>
      <c r="AC13" s="7">
        <f>'1-CBA'!AC14</f>
        <v>14104351.741387701</v>
      </c>
      <c r="AD13" s="7">
        <f>'1-CBA'!AD14</f>
        <v>2972716.9382456038</v>
      </c>
      <c r="AE13" s="7">
        <f>'1-CBA'!AE14</f>
        <v>575929.69885544037</v>
      </c>
      <c r="AF13" s="7">
        <f>'1-CBA'!AF14</f>
        <v>586635.31512735435</v>
      </c>
      <c r="AG13" s="7">
        <f>'1-CBA'!AG14</f>
        <v>0</v>
      </c>
      <c r="AH13" s="7">
        <f>'1-CBA'!AH14</f>
        <v>220578.30314296408</v>
      </c>
      <c r="AI13" s="7">
        <f>'1-CBA'!AI14</f>
        <v>231830.01343725965</v>
      </c>
      <c r="AJ13" s="7">
        <f>'1-CBA'!AJ14</f>
        <v>220578.30314296408</v>
      </c>
      <c r="AK13" s="7">
        <f>'1-CBA'!AK14</f>
        <v>1357505.51256401</v>
      </c>
      <c r="AL13" s="7">
        <f>'1-CBA'!AL14</f>
        <v>783416.0527063394</v>
      </c>
      <c r="AM13" s="7">
        <f>'1-CBA'!AM14</f>
        <v>798471.115849767</v>
      </c>
      <c r="AN13" s="7">
        <f>'1-CBA'!AN14</f>
        <v>9506289.7786794212</v>
      </c>
      <c r="AO13" s="7">
        <f>'1-CBA'!AO14</f>
        <v>15522195.040850529</v>
      </c>
      <c r="AP13" s="7">
        <f>'1-CBA'!AP14</f>
        <v>3283728.9025707487</v>
      </c>
      <c r="AQ13" s="7">
        <f>'1-CBA'!AQ14</f>
        <v>636184.68803713168</v>
      </c>
      <c r="AR13" s="7">
        <f>'1-CBA'!AR14</f>
        <v>648010.34863725002</v>
      </c>
      <c r="AS13" s="7">
        <f>'1-CBA'!AS14</f>
        <v>256084.56217717382</v>
      </c>
      <c r="AT13" s="7">
        <f>'1-CBA'!AT14</f>
        <v>12811613.08550144</v>
      </c>
      <c r="AU13" s="7">
        <f>'1-CBA'!AU14</f>
        <v>256084.56217717382</v>
      </c>
      <c r="AV13" s="7">
        <f>'1-CBA'!AV14</f>
        <v>243655.6740373779</v>
      </c>
      <c r="AW13" s="7">
        <f>'1-CBA'!AW14</f>
        <v>256084.56217717382</v>
      </c>
      <c r="AX13" s="7">
        <f>'1-CBA'!AX14</f>
        <v>269147.44852366799</v>
      </c>
      <c r="AY13" s="7">
        <f>'1-CBA'!AY14</f>
        <v>256084.56217717382</v>
      </c>
      <c r="AZ13" s="7">
        <f>'1-CBA'!AZ14</f>
        <v>7440202.2388957106</v>
      </c>
      <c r="BA13" s="7">
        <f>'1-CBA'!BA14</f>
        <v>18395250.42810997</v>
      </c>
    </row>
    <row r="14" spans="1:53">
      <c r="A14" s="32"/>
      <c r="B14" s="147" t="str">
        <f>'1-CBA'!B15</f>
        <v>Sub-total</v>
      </c>
      <c r="C14" s="56">
        <f>'1-CBA'!C15</f>
        <v>70066500</v>
      </c>
      <c r="D14" s="57">
        <f>'1-CBA'!D15</f>
        <v>13776500</v>
      </c>
      <c r="E14" s="59">
        <f>'1-CBA'!E15</f>
        <v>37340500</v>
      </c>
      <c r="F14" s="59">
        <f>'1-CBA'!F15</f>
        <v>12039500</v>
      </c>
      <c r="G14" s="59">
        <f>'1-CBA'!G15</f>
        <v>4505000</v>
      </c>
      <c r="H14" s="60">
        <f>'1-CBA'!H15</f>
        <v>2405000</v>
      </c>
      <c r="I14" s="58">
        <f>'1-CBA'!I15</f>
        <v>0</v>
      </c>
      <c r="J14" s="59">
        <f>'1-CBA'!J15</f>
        <v>180773.72861719999</v>
      </c>
      <c r="K14" s="59">
        <f>'1-CBA'!K15</f>
        <v>372057.55773539993</v>
      </c>
      <c r="L14" s="59">
        <f>'1-CBA'!L15</f>
        <v>0</v>
      </c>
      <c r="M14" s="59">
        <f>'1-CBA'!M15</f>
        <v>0</v>
      </c>
      <c r="N14" s="59">
        <f>'1-CBA'!N15</f>
        <v>0</v>
      </c>
      <c r="O14" s="59">
        <f>'1-CBA'!O15</f>
        <v>189995.00557072714</v>
      </c>
      <c r="P14" s="59">
        <f>'1-CBA'!P15</f>
        <v>5462908.7212211136</v>
      </c>
      <c r="Q14" s="59">
        <f>'1-CBA'!Q15</f>
        <v>12820796.698585151</v>
      </c>
      <c r="R14" s="59">
        <f>'1-CBA'!R15</f>
        <v>2882511.4362605382</v>
      </c>
      <c r="S14" s="59">
        <f>'1-CBA'!S15</f>
        <v>331386.63762336143</v>
      </c>
      <c r="T14" s="59">
        <f>'1-CBA'!T15</f>
        <v>531073.29794700106</v>
      </c>
      <c r="U14" s="59">
        <f>'1-CBA'!U15</f>
        <v>1114530.1971551985</v>
      </c>
      <c r="V14" s="59">
        <f>'1-CBA'!V15</f>
        <v>756951.75890123891</v>
      </c>
      <c r="W14" s="59">
        <f>'1-CBA'!W15</f>
        <v>0</v>
      </c>
      <c r="X14" s="59">
        <f>'1-CBA'!X15</f>
        <v>199686.66032363969</v>
      </c>
      <c r="Y14" s="59">
        <f>'1-CBA'!Y15</f>
        <v>209872.68687105022</v>
      </c>
      <c r="Z14" s="59">
        <f>'1-CBA'!Z15</f>
        <v>12567957.411464062</v>
      </c>
      <c r="AA14" s="59">
        <f>'1-CBA'!AA15</f>
        <v>209872.68687105022</v>
      </c>
      <c r="AB14" s="59">
        <f>'1-CBA'!AB15</f>
        <v>5976665.8852942903</v>
      </c>
      <c r="AC14" s="59">
        <f>'1-CBA'!AC15</f>
        <v>14104351.741387701</v>
      </c>
      <c r="AD14" s="59">
        <f>'1-CBA'!AD15</f>
        <v>2972716.9382456038</v>
      </c>
      <c r="AE14" s="59">
        <f>'1-CBA'!AE15</f>
        <v>575929.69885544037</v>
      </c>
      <c r="AF14" s="59">
        <f>'1-CBA'!AF15</f>
        <v>586635.31512735435</v>
      </c>
      <c r="AG14" s="59">
        <f>'1-CBA'!AG15</f>
        <v>0</v>
      </c>
      <c r="AH14" s="59">
        <f>'1-CBA'!AH15</f>
        <v>220578.30314296408</v>
      </c>
      <c r="AI14" s="59">
        <f>'1-CBA'!AI15</f>
        <v>231830.01343725965</v>
      </c>
      <c r="AJ14" s="59">
        <f>'1-CBA'!AJ15</f>
        <v>220578.30314296408</v>
      </c>
      <c r="AK14" s="59">
        <f>'1-CBA'!AK15</f>
        <v>1357505.51256401</v>
      </c>
      <c r="AL14" s="59">
        <f>'1-CBA'!AL15</f>
        <v>783416.0527063394</v>
      </c>
      <c r="AM14" s="59">
        <f>'1-CBA'!AM15</f>
        <v>798471.115849767</v>
      </c>
      <c r="AN14" s="59">
        <f>'1-CBA'!AN15</f>
        <v>9506289.7786794212</v>
      </c>
      <c r="AO14" s="59">
        <f>'1-CBA'!AO15</f>
        <v>15522195.040850529</v>
      </c>
      <c r="AP14" s="59">
        <f>'1-CBA'!AP15</f>
        <v>3283728.9025707487</v>
      </c>
      <c r="AQ14" s="59">
        <f>'1-CBA'!AQ15</f>
        <v>636184.68803713168</v>
      </c>
      <c r="AR14" s="59">
        <f>'1-CBA'!AR15</f>
        <v>648010.34863725002</v>
      </c>
      <c r="AS14" s="59">
        <f>'1-CBA'!AS15</f>
        <v>256084.56217717382</v>
      </c>
      <c r="AT14" s="59">
        <f>'1-CBA'!AT15</f>
        <v>12811613.08550144</v>
      </c>
      <c r="AU14" s="59">
        <f>'1-CBA'!AU15</f>
        <v>256084.56217717382</v>
      </c>
      <c r="AV14" s="59">
        <f>'1-CBA'!AV15</f>
        <v>243655.6740373779</v>
      </c>
      <c r="AW14" s="59">
        <f>'1-CBA'!AW15</f>
        <v>256084.56217717382</v>
      </c>
      <c r="AX14" s="59">
        <f>'1-CBA'!AX15</f>
        <v>269147.44852366799</v>
      </c>
      <c r="AY14" s="59">
        <f>'1-CBA'!AY15</f>
        <v>256084.56217717382</v>
      </c>
      <c r="AZ14" s="59">
        <f>'1-CBA'!AZ15</f>
        <v>7440202.2388957106</v>
      </c>
      <c r="BA14" s="59">
        <f>'1-CBA'!BA15</f>
        <v>18395250.42810997</v>
      </c>
    </row>
    <row r="15" spans="1:53">
      <c r="A15" s="32"/>
      <c r="B15" s="148">
        <f>'1-CBA'!B16</f>
        <v>0</v>
      </c>
      <c r="C15" s="61">
        <f>'1-CBA'!C16</f>
        <v>0</v>
      </c>
      <c r="D15" s="62">
        <f>'1-CBA'!D16</f>
        <v>0</v>
      </c>
      <c r="E15" s="63">
        <f>'1-CBA'!E16</f>
        <v>0</v>
      </c>
      <c r="F15" s="63">
        <f>'1-CBA'!F16</f>
        <v>0</v>
      </c>
      <c r="G15" s="63">
        <f>'1-CBA'!G16</f>
        <v>0</v>
      </c>
      <c r="H15" s="64">
        <f>'1-CBA'!H16</f>
        <v>0</v>
      </c>
    </row>
    <row r="16" spans="1:53">
      <c r="A16" s="32"/>
      <c r="B16" s="149" t="str">
        <f>'1-CBA'!B17</f>
        <v xml:space="preserve">Operation and maintenance costs </v>
      </c>
      <c r="C16" s="65">
        <f>'1-CBA'!C17</f>
        <v>0</v>
      </c>
      <c r="D16" s="44">
        <f>'1-CBA'!D17</f>
        <v>0</v>
      </c>
      <c r="E16" s="46">
        <f>'1-CBA'!E17</f>
        <v>0</v>
      </c>
      <c r="F16" s="46">
        <f>'1-CBA'!F17</f>
        <v>0</v>
      </c>
      <c r="G16" s="46">
        <f>'1-CBA'!G17</f>
        <v>0</v>
      </c>
      <c r="H16" s="47">
        <f>'1-CBA'!H17</f>
        <v>0</v>
      </c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</row>
    <row r="17" spans="1:53">
      <c r="A17" s="48" t="str">
        <f>'1-CBA'!A18</f>
        <v>7% (cf. FS)</v>
      </c>
      <c r="B17" s="150" t="str">
        <f>'1-CBA'!B18</f>
        <v>Operation and maintenance (Human resources)</v>
      </c>
      <c r="C17" s="145">
        <f>'1-CBA'!C18</f>
        <v>4573000</v>
      </c>
      <c r="D17" s="51">
        <f>'1-CBA'!D18</f>
        <v>0</v>
      </c>
      <c r="E17" s="66">
        <f>'1-CBA'!E18</f>
        <v>180000</v>
      </c>
      <c r="F17" s="52">
        <f>'1-CBA'!F18</f>
        <v>1356000</v>
      </c>
      <c r="G17" s="52">
        <f>'1-CBA'!G18</f>
        <v>1508000</v>
      </c>
      <c r="H17" s="53">
        <f>'1-CBA'!H18</f>
        <v>1529000</v>
      </c>
      <c r="I17" s="7">
        <f>'1-CBA'!I18</f>
        <v>1529000</v>
      </c>
      <c r="J17" s="7">
        <f>'1-CBA'!J18</f>
        <v>1544290</v>
      </c>
      <c r="K17" s="7">
        <f>'1-CBA'!K18</f>
        <v>1559732.9</v>
      </c>
      <c r="L17" s="7">
        <f>'1-CBA'!L18</f>
        <v>1575330.2289999998</v>
      </c>
      <c r="M17" s="7">
        <f>'1-CBA'!M18</f>
        <v>1591083.5312899998</v>
      </c>
      <c r="N17" s="7">
        <f>'1-CBA'!N18</f>
        <v>1606994.3666028997</v>
      </c>
      <c r="O17" s="7">
        <f>'1-CBA'!O18</f>
        <v>1623064.3102689288</v>
      </c>
      <c r="P17" s="7">
        <f>'1-CBA'!P18</f>
        <v>1639294.9533716182</v>
      </c>
      <c r="Q17" s="7">
        <f>'1-CBA'!Q18</f>
        <v>1655687.9029053345</v>
      </c>
      <c r="R17" s="7">
        <f>'1-CBA'!R18</f>
        <v>1672244.7819343877</v>
      </c>
      <c r="S17" s="7">
        <f>'1-CBA'!S18</f>
        <v>1688967.2297537317</v>
      </c>
      <c r="T17" s="7">
        <f>'1-CBA'!T18</f>
        <v>1705856.9020512691</v>
      </c>
      <c r="U17" s="7">
        <f>'1-CBA'!U18</f>
        <v>1722915.4710717818</v>
      </c>
      <c r="V17" s="7">
        <f>'1-CBA'!V18</f>
        <v>1740144.6257824996</v>
      </c>
      <c r="W17" s="7">
        <f>'1-CBA'!W18</f>
        <v>1757546.0720403246</v>
      </c>
      <c r="X17" s="7">
        <f>'1-CBA'!X18</f>
        <v>1775121.5327607279</v>
      </c>
      <c r="Y17" s="7">
        <f>'1-CBA'!Y18</f>
        <v>1792872.7480883352</v>
      </c>
      <c r="Z17" s="7">
        <f>'1-CBA'!Z18</f>
        <v>1810801.4755692186</v>
      </c>
      <c r="AA17" s="7">
        <f>'1-CBA'!AA18</f>
        <v>1828909.4903249107</v>
      </c>
      <c r="AB17" s="7">
        <f>'1-CBA'!AB18</f>
        <v>1847198.5852281598</v>
      </c>
      <c r="AC17" s="7">
        <f>'1-CBA'!AC18</f>
        <v>1865670.5710804414</v>
      </c>
      <c r="AD17" s="7">
        <f>'1-CBA'!AD18</f>
        <v>1884327.2767912457</v>
      </c>
      <c r="AE17" s="7">
        <f>'1-CBA'!AE18</f>
        <v>1903170.549559158</v>
      </c>
      <c r="AF17" s="7">
        <f>'1-CBA'!AF18</f>
        <v>1922202.2550547495</v>
      </c>
      <c r="AG17" s="7">
        <f>'1-CBA'!AG18</f>
        <v>1941424.277605297</v>
      </c>
      <c r="AH17" s="7">
        <f>'1-CBA'!AH18</f>
        <v>1960838.5203813501</v>
      </c>
      <c r="AI17" s="7">
        <f>'1-CBA'!AI18</f>
        <v>1980446.9055851635</v>
      </c>
      <c r="AJ17" s="7">
        <f>'1-CBA'!AJ18</f>
        <v>2000251.3746410152</v>
      </c>
      <c r="AK17" s="7">
        <f>'1-CBA'!AK18</f>
        <v>2020253.8883874253</v>
      </c>
      <c r="AL17" s="7">
        <f>'1-CBA'!AL18</f>
        <v>2040456.4272712995</v>
      </c>
      <c r="AM17" s="7">
        <f>'1-CBA'!AM18</f>
        <v>2060860.9915440124</v>
      </c>
      <c r="AN17" s="7">
        <f>'1-CBA'!AN18</f>
        <v>2081469.6014594526</v>
      </c>
      <c r="AO17" s="7">
        <f>'1-CBA'!AO18</f>
        <v>2102284.2974740472</v>
      </c>
      <c r="AP17" s="7">
        <f>'1-CBA'!AP18</f>
        <v>2123307.1404487877</v>
      </c>
      <c r="AQ17" s="7">
        <f>'1-CBA'!AQ18</f>
        <v>2144540.2118532755</v>
      </c>
      <c r="AR17" s="7">
        <f>'1-CBA'!AR18</f>
        <v>2165985.6139718085</v>
      </c>
      <c r="AS17" s="7">
        <f>'1-CBA'!AS18</f>
        <v>2187645.4701115265</v>
      </c>
      <c r="AT17" s="7">
        <f>'1-CBA'!AT18</f>
        <v>2209521.9248126419</v>
      </c>
      <c r="AU17" s="7">
        <f>'1-CBA'!AU18</f>
        <v>2231617.1440607682</v>
      </c>
      <c r="AV17" s="7">
        <f>'1-CBA'!AV18</f>
        <v>2253933.3155013761</v>
      </c>
      <c r="AW17" s="7">
        <f>'1-CBA'!AW18</f>
        <v>2276472.6486563897</v>
      </c>
      <c r="AX17" s="7">
        <f>'1-CBA'!AX18</f>
        <v>2299237.3751429538</v>
      </c>
      <c r="AY17" s="7">
        <f>'1-CBA'!AY18</f>
        <v>2322229.7488943832</v>
      </c>
      <c r="AZ17" s="7">
        <f>'1-CBA'!AZ18</f>
        <v>2345452.0463833269</v>
      </c>
      <c r="BA17" s="7">
        <f>'1-CBA'!BA18</f>
        <v>2368906.56684716</v>
      </c>
    </row>
    <row r="18" spans="1:53">
      <c r="B18" s="150" t="str">
        <f>'1-CBA'!B19</f>
        <v>Operation and maintenance (Maintenance contract)</v>
      </c>
      <c r="C18" s="145">
        <f>'1-CBA'!C19</f>
        <v>3421000</v>
      </c>
      <c r="D18" s="51">
        <f>'1-CBA'!D19</f>
        <v>0</v>
      </c>
      <c r="E18" s="52">
        <f>'1-CBA'!E19</f>
        <v>290000</v>
      </c>
      <c r="F18" s="52">
        <f>'1-CBA'!F19</f>
        <v>978000</v>
      </c>
      <c r="G18" s="52">
        <f>'1-CBA'!G19</f>
        <v>1073000</v>
      </c>
      <c r="H18" s="53">
        <f>'1-CBA'!H19</f>
        <v>1080000</v>
      </c>
    </row>
    <row r="19" spans="1:53">
      <c r="B19" s="151" t="str">
        <f>'1-CBA'!B20</f>
        <v>Sub-total</v>
      </c>
      <c r="C19" s="56">
        <f>'1-CBA'!C20</f>
        <v>4573000</v>
      </c>
      <c r="D19" s="57">
        <f>'1-CBA'!D20</f>
        <v>0</v>
      </c>
      <c r="E19" s="59">
        <f>'1-CBA'!E20</f>
        <v>470000</v>
      </c>
      <c r="F19" s="59">
        <f>'1-CBA'!F20</f>
        <v>2334000</v>
      </c>
      <c r="G19" s="59">
        <f>'1-CBA'!G20</f>
        <v>2581000</v>
      </c>
      <c r="H19" s="60">
        <f>'1-CBA'!H20</f>
        <v>2609000</v>
      </c>
      <c r="I19" s="58">
        <f>SUM(I17:I18)</f>
        <v>1529000</v>
      </c>
      <c r="J19" s="59">
        <f t="shared" ref="J19:BA19" si="0">SUM(J17:J18)</f>
        <v>1544290</v>
      </c>
      <c r="K19" s="59">
        <f t="shared" si="0"/>
        <v>1559732.9</v>
      </c>
      <c r="L19" s="59">
        <f t="shared" si="0"/>
        <v>1575330.2289999998</v>
      </c>
      <c r="M19" s="59">
        <f t="shared" si="0"/>
        <v>1591083.5312899998</v>
      </c>
      <c r="N19" s="59">
        <f t="shared" si="0"/>
        <v>1606994.3666028997</v>
      </c>
      <c r="O19" s="59">
        <f t="shared" si="0"/>
        <v>1623064.3102689288</v>
      </c>
      <c r="P19" s="59">
        <f t="shared" si="0"/>
        <v>1639294.9533716182</v>
      </c>
      <c r="Q19" s="59">
        <f t="shared" si="0"/>
        <v>1655687.9029053345</v>
      </c>
      <c r="R19" s="59">
        <f t="shared" si="0"/>
        <v>1672244.7819343877</v>
      </c>
      <c r="S19" s="59">
        <f t="shared" si="0"/>
        <v>1688967.2297537317</v>
      </c>
      <c r="T19" s="59">
        <f t="shared" si="0"/>
        <v>1705856.9020512691</v>
      </c>
      <c r="U19" s="59">
        <f t="shared" si="0"/>
        <v>1722915.4710717818</v>
      </c>
      <c r="V19" s="59">
        <f t="shared" si="0"/>
        <v>1740144.6257824996</v>
      </c>
      <c r="W19" s="59">
        <f t="shared" si="0"/>
        <v>1757546.0720403246</v>
      </c>
      <c r="X19" s="59">
        <f t="shared" si="0"/>
        <v>1775121.5327607279</v>
      </c>
      <c r="Y19" s="59">
        <f t="shared" si="0"/>
        <v>1792872.7480883352</v>
      </c>
      <c r="Z19" s="59">
        <f t="shared" si="0"/>
        <v>1810801.4755692186</v>
      </c>
      <c r="AA19" s="59">
        <f t="shared" si="0"/>
        <v>1828909.4903249107</v>
      </c>
      <c r="AB19" s="59">
        <f t="shared" si="0"/>
        <v>1847198.5852281598</v>
      </c>
      <c r="AC19" s="59">
        <f t="shared" si="0"/>
        <v>1865670.5710804414</v>
      </c>
      <c r="AD19" s="59">
        <f t="shared" si="0"/>
        <v>1884327.2767912457</v>
      </c>
      <c r="AE19" s="59">
        <f t="shared" si="0"/>
        <v>1903170.549559158</v>
      </c>
      <c r="AF19" s="59">
        <f t="shared" si="0"/>
        <v>1922202.2550547495</v>
      </c>
      <c r="AG19" s="59">
        <f t="shared" si="0"/>
        <v>1941424.277605297</v>
      </c>
      <c r="AH19" s="59">
        <f t="shared" si="0"/>
        <v>1960838.5203813501</v>
      </c>
      <c r="AI19" s="59">
        <f t="shared" si="0"/>
        <v>1980446.9055851635</v>
      </c>
      <c r="AJ19" s="59">
        <f t="shared" si="0"/>
        <v>2000251.3746410152</v>
      </c>
      <c r="AK19" s="59">
        <f t="shared" si="0"/>
        <v>2020253.8883874253</v>
      </c>
      <c r="AL19" s="59">
        <f t="shared" si="0"/>
        <v>2040456.4272712995</v>
      </c>
      <c r="AM19" s="59">
        <f t="shared" si="0"/>
        <v>2060860.9915440124</v>
      </c>
      <c r="AN19" s="59">
        <f t="shared" si="0"/>
        <v>2081469.6014594526</v>
      </c>
      <c r="AO19" s="59">
        <f t="shared" si="0"/>
        <v>2102284.2974740472</v>
      </c>
      <c r="AP19" s="59">
        <f t="shared" si="0"/>
        <v>2123307.1404487877</v>
      </c>
      <c r="AQ19" s="59">
        <f t="shared" si="0"/>
        <v>2144540.2118532755</v>
      </c>
      <c r="AR19" s="59">
        <f t="shared" si="0"/>
        <v>2165985.6139718085</v>
      </c>
      <c r="AS19" s="59">
        <f t="shared" si="0"/>
        <v>2187645.4701115265</v>
      </c>
      <c r="AT19" s="59">
        <f t="shared" si="0"/>
        <v>2209521.9248126419</v>
      </c>
      <c r="AU19" s="59">
        <f t="shared" si="0"/>
        <v>2231617.1440607682</v>
      </c>
      <c r="AV19" s="59">
        <f t="shared" si="0"/>
        <v>2253933.3155013761</v>
      </c>
      <c r="AW19" s="59">
        <f t="shared" si="0"/>
        <v>2276472.6486563897</v>
      </c>
      <c r="AX19" s="59">
        <f t="shared" si="0"/>
        <v>2299237.3751429538</v>
      </c>
      <c r="AY19" s="59">
        <f t="shared" si="0"/>
        <v>2322229.7488943832</v>
      </c>
      <c r="AZ19" s="59">
        <f t="shared" si="0"/>
        <v>2345452.0463833269</v>
      </c>
      <c r="BA19" s="59">
        <f t="shared" si="0"/>
        <v>2368906.56684716</v>
      </c>
    </row>
    <row r="20" spans="1:53">
      <c r="B20" s="148"/>
      <c r="C20" s="61"/>
      <c r="D20" s="62"/>
      <c r="E20" s="63"/>
      <c r="F20" s="63"/>
      <c r="G20" s="63"/>
      <c r="H20" s="64"/>
    </row>
    <row r="21" spans="1:53" s="76" customFormat="1" ht="15" thickBot="1">
      <c r="B21" s="75" t="s">
        <v>49</v>
      </c>
      <c r="C21" s="43">
        <f>'1-CBA'!C22</f>
        <v>74639500</v>
      </c>
      <c r="D21" s="181">
        <f>'1-CBA'!D22</f>
        <v>13776500</v>
      </c>
      <c r="E21" s="182">
        <f>'1-CBA'!E22</f>
        <v>37810500</v>
      </c>
      <c r="F21" s="182">
        <f>'1-CBA'!F22</f>
        <v>14373500</v>
      </c>
      <c r="G21" s="182">
        <f>'1-CBA'!G22</f>
        <v>7086000</v>
      </c>
      <c r="H21" s="183">
        <f>'1-CBA'!H22</f>
        <v>5014000</v>
      </c>
      <c r="I21" s="75">
        <f t="shared" ref="I21:BA21" si="1">I19+I14</f>
        <v>1529000</v>
      </c>
      <c r="J21" s="75">
        <f t="shared" si="1"/>
        <v>1725063.7286171999</v>
      </c>
      <c r="K21" s="75">
        <f t="shared" si="1"/>
        <v>1931790.4577353997</v>
      </c>
      <c r="L21" s="75">
        <f t="shared" si="1"/>
        <v>1575330.2289999998</v>
      </c>
      <c r="M21" s="75">
        <f t="shared" si="1"/>
        <v>1591083.5312899998</v>
      </c>
      <c r="N21" s="75">
        <f t="shared" si="1"/>
        <v>1606994.3666028997</v>
      </c>
      <c r="O21" s="75">
        <f t="shared" si="1"/>
        <v>1813059.3158396559</v>
      </c>
      <c r="P21" s="75">
        <f t="shared" si="1"/>
        <v>7102203.6745927315</v>
      </c>
      <c r="Q21" s="75">
        <f t="shared" si="1"/>
        <v>14476484.601490485</v>
      </c>
      <c r="R21" s="75">
        <f t="shared" si="1"/>
        <v>4554756.2181949262</v>
      </c>
      <c r="S21" s="75">
        <f t="shared" si="1"/>
        <v>2020353.8673770931</v>
      </c>
      <c r="T21" s="75">
        <f t="shared" si="1"/>
        <v>2236930.1999982703</v>
      </c>
      <c r="U21" s="75">
        <f t="shared" si="1"/>
        <v>2837445.6682269806</v>
      </c>
      <c r="V21" s="75">
        <f t="shared" si="1"/>
        <v>2497096.3846837385</v>
      </c>
      <c r="W21" s="75">
        <f t="shared" si="1"/>
        <v>1757546.0720403246</v>
      </c>
      <c r="X21" s="75">
        <f t="shared" si="1"/>
        <v>1974808.1930843676</v>
      </c>
      <c r="Y21" s="75">
        <f t="shared" si="1"/>
        <v>2002745.4349593853</v>
      </c>
      <c r="Z21" s="75">
        <f t="shared" si="1"/>
        <v>14378758.88703328</v>
      </c>
      <c r="AA21" s="75">
        <f t="shared" si="1"/>
        <v>2038782.1771959609</v>
      </c>
      <c r="AB21" s="75">
        <f t="shared" si="1"/>
        <v>7823864.4705224503</v>
      </c>
      <c r="AC21" s="75">
        <f t="shared" si="1"/>
        <v>15970022.312468141</v>
      </c>
      <c r="AD21" s="75">
        <f t="shared" si="1"/>
        <v>4857044.2150368495</v>
      </c>
      <c r="AE21" s="75">
        <f t="shared" si="1"/>
        <v>2479100.2484145984</v>
      </c>
      <c r="AF21" s="75">
        <f t="shared" si="1"/>
        <v>2508837.5701821037</v>
      </c>
      <c r="AG21" s="75">
        <f t="shared" si="1"/>
        <v>1941424.277605297</v>
      </c>
      <c r="AH21" s="75">
        <f t="shared" si="1"/>
        <v>2181416.823524314</v>
      </c>
      <c r="AI21" s="75">
        <f t="shared" si="1"/>
        <v>2212276.9190224232</v>
      </c>
      <c r="AJ21" s="75">
        <f t="shared" si="1"/>
        <v>2220829.6777839791</v>
      </c>
      <c r="AK21" s="75">
        <f t="shared" si="1"/>
        <v>3377759.4009514353</v>
      </c>
      <c r="AL21" s="75">
        <f t="shared" si="1"/>
        <v>2823872.4799776389</v>
      </c>
      <c r="AM21" s="75">
        <f t="shared" si="1"/>
        <v>2859332.1073937793</v>
      </c>
      <c r="AN21" s="75">
        <f t="shared" si="1"/>
        <v>11587759.380138874</v>
      </c>
      <c r="AO21" s="75">
        <f t="shared" si="1"/>
        <v>17624479.338324577</v>
      </c>
      <c r="AP21" s="75">
        <f t="shared" si="1"/>
        <v>5407036.0430195369</v>
      </c>
      <c r="AQ21" s="75">
        <f t="shared" si="1"/>
        <v>2780724.899890407</v>
      </c>
      <c r="AR21" s="75">
        <f t="shared" si="1"/>
        <v>2813995.9626090582</v>
      </c>
      <c r="AS21" s="75">
        <f t="shared" si="1"/>
        <v>2443730.0322887003</v>
      </c>
      <c r="AT21" s="75">
        <f t="shared" si="1"/>
        <v>15021135.010314081</v>
      </c>
      <c r="AU21" s="75">
        <f t="shared" si="1"/>
        <v>2487701.706237942</v>
      </c>
      <c r="AV21" s="75">
        <f t="shared" si="1"/>
        <v>2497588.9895387539</v>
      </c>
      <c r="AW21" s="75">
        <f t="shared" si="1"/>
        <v>2532557.2108335635</v>
      </c>
      <c r="AX21" s="75">
        <f t="shared" si="1"/>
        <v>2568384.8236666219</v>
      </c>
      <c r="AY21" s="75">
        <f t="shared" si="1"/>
        <v>2578314.311071557</v>
      </c>
      <c r="AZ21" s="75">
        <f t="shared" si="1"/>
        <v>9785654.2852790374</v>
      </c>
      <c r="BA21" s="75">
        <f t="shared" si="1"/>
        <v>20764156.99495713</v>
      </c>
    </row>
    <row r="22" spans="1:53">
      <c r="B22" s="152" t="s">
        <v>93</v>
      </c>
      <c r="C22" s="153">
        <f>NPV(5%,D21:BA21)</f>
        <v>127201290.05537271</v>
      </c>
    </row>
    <row r="23" spans="1:53">
      <c r="C23" s="84"/>
    </row>
    <row r="24" spans="1:53">
      <c r="C24" s="84"/>
    </row>
    <row r="25" spans="1:53">
      <c r="B25" s="143" t="s">
        <v>53</v>
      </c>
      <c r="C25" s="154" t="str">
        <f t="shared" ref="C25:AH25" si="2">C5</f>
        <v>TOTAL</v>
      </c>
      <c r="D25" s="41">
        <f t="shared" si="2"/>
        <v>2021</v>
      </c>
      <c r="E25" s="42">
        <f t="shared" si="2"/>
        <v>2022</v>
      </c>
      <c r="F25" s="42">
        <f t="shared" si="2"/>
        <v>2023</v>
      </c>
      <c r="G25" s="42">
        <f t="shared" si="2"/>
        <v>2024</v>
      </c>
      <c r="H25" s="42">
        <f t="shared" si="2"/>
        <v>2025</v>
      </c>
      <c r="I25" s="42">
        <f t="shared" si="2"/>
        <v>2026</v>
      </c>
      <c r="J25" s="42">
        <f t="shared" si="2"/>
        <v>2027</v>
      </c>
      <c r="K25" s="42">
        <f t="shared" si="2"/>
        <v>2028</v>
      </c>
      <c r="L25" s="42">
        <f t="shared" si="2"/>
        <v>2029</v>
      </c>
      <c r="M25" s="42">
        <f t="shared" si="2"/>
        <v>2030</v>
      </c>
      <c r="N25" s="42">
        <f t="shared" si="2"/>
        <v>2031</v>
      </c>
      <c r="O25" s="42">
        <f t="shared" si="2"/>
        <v>2032</v>
      </c>
      <c r="P25" s="42">
        <f t="shared" si="2"/>
        <v>2033</v>
      </c>
      <c r="Q25" s="42">
        <f t="shared" si="2"/>
        <v>2034</v>
      </c>
      <c r="R25" s="42">
        <f t="shared" si="2"/>
        <v>2035</v>
      </c>
      <c r="S25" s="42">
        <f t="shared" si="2"/>
        <v>2036</v>
      </c>
      <c r="T25" s="42">
        <f t="shared" si="2"/>
        <v>2037</v>
      </c>
      <c r="U25" s="42">
        <f t="shared" si="2"/>
        <v>2038</v>
      </c>
      <c r="V25" s="42">
        <f t="shared" si="2"/>
        <v>2039</v>
      </c>
      <c r="W25" s="42">
        <f t="shared" si="2"/>
        <v>2040</v>
      </c>
      <c r="X25" s="42">
        <f t="shared" si="2"/>
        <v>2041</v>
      </c>
      <c r="Y25" s="42">
        <f t="shared" si="2"/>
        <v>2042</v>
      </c>
      <c r="Z25" s="42">
        <f t="shared" si="2"/>
        <v>2043</v>
      </c>
      <c r="AA25" s="42">
        <f t="shared" si="2"/>
        <v>2044</v>
      </c>
      <c r="AB25" s="42">
        <f t="shared" si="2"/>
        <v>2045</v>
      </c>
      <c r="AC25" s="42">
        <f t="shared" si="2"/>
        <v>2046</v>
      </c>
      <c r="AD25" s="42">
        <f t="shared" si="2"/>
        <v>2047</v>
      </c>
      <c r="AE25" s="42">
        <f t="shared" si="2"/>
        <v>2048</v>
      </c>
      <c r="AF25" s="42">
        <f t="shared" si="2"/>
        <v>2049</v>
      </c>
      <c r="AG25" s="42">
        <f t="shared" si="2"/>
        <v>2050</v>
      </c>
      <c r="AH25" s="42">
        <f t="shared" si="2"/>
        <v>2051</v>
      </c>
      <c r="AI25" s="42">
        <f t="shared" ref="AI25:BA25" si="3">AI5</f>
        <v>2052</v>
      </c>
      <c r="AJ25" s="42">
        <f t="shared" si="3"/>
        <v>2053</v>
      </c>
      <c r="AK25" s="42">
        <f t="shared" si="3"/>
        <v>2054</v>
      </c>
      <c r="AL25" s="42">
        <f t="shared" si="3"/>
        <v>2055</v>
      </c>
      <c r="AM25" s="42">
        <f t="shared" si="3"/>
        <v>2056</v>
      </c>
      <c r="AN25" s="42">
        <f t="shared" si="3"/>
        <v>2057</v>
      </c>
      <c r="AO25" s="42">
        <f t="shared" si="3"/>
        <v>2058</v>
      </c>
      <c r="AP25" s="42">
        <f t="shared" si="3"/>
        <v>2059</v>
      </c>
      <c r="AQ25" s="42">
        <f t="shared" si="3"/>
        <v>2060</v>
      </c>
      <c r="AR25" s="42">
        <f t="shared" si="3"/>
        <v>2061</v>
      </c>
      <c r="AS25" s="42">
        <f t="shared" si="3"/>
        <v>2062</v>
      </c>
      <c r="AT25" s="42">
        <f t="shared" si="3"/>
        <v>2063</v>
      </c>
      <c r="AU25" s="42">
        <f t="shared" si="3"/>
        <v>2064</v>
      </c>
      <c r="AV25" s="42">
        <f t="shared" si="3"/>
        <v>2065</v>
      </c>
      <c r="AW25" s="42">
        <f t="shared" si="3"/>
        <v>2066</v>
      </c>
      <c r="AX25" s="42">
        <f t="shared" si="3"/>
        <v>2067</v>
      </c>
      <c r="AY25" s="42">
        <f t="shared" si="3"/>
        <v>2068</v>
      </c>
      <c r="AZ25" s="42">
        <f t="shared" si="3"/>
        <v>2069</v>
      </c>
      <c r="BA25" s="42">
        <f t="shared" si="3"/>
        <v>2070</v>
      </c>
    </row>
    <row r="26" spans="1:53">
      <c r="B26" s="155" t="s">
        <v>67</v>
      </c>
      <c r="C26" s="78"/>
      <c r="D26" s="82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</row>
    <row r="27" spans="1:53">
      <c r="B27" s="156" t="s">
        <v>9</v>
      </c>
      <c r="C27" s="84"/>
      <c r="I27" s="7">
        <f>'1-CBA'!I26*(1+$C$3)</f>
        <v>7343195.8540000003</v>
      </c>
      <c r="J27" s="7">
        <f>'1-CBA'!J26*(1+$C$3)</f>
        <v>7343195.8540000003</v>
      </c>
      <c r="K27" s="7">
        <f>'1-CBA'!K26*(1+$C$3)</f>
        <v>7343195.8540000003</v>
      </c>
      <c r="L27" s="7">
        <f>'1-CBA'!L26*(1+$C$3)</f>
        <v>7343195.8540000003</v>
      </c>
      <c r="M27" s="7">
        <f>'1-CBA'!M26*(1+$C$3)</f>
        <v>7343195.8540000003</v>
      </c>
      <c r="N27" s="7">
        <f>'1-CBA'!N26*(1+$C$3)</f>
        <v>7343195.8540000003</v>
      </c>
      <c r="O27" s="7">
        <f>'1-CBA'!O26*(1+$C$3)</f>
        <v>7343195.8540000003</v>
      </c>
      <c r="P27" s="7">
        <f>'1-CBA'!P26*(1+$C$3)</f>
        <v>7343195.8540000003</v>
      </c>
      <c r="Q27" s="7">
        <f>'1-CBA'!Q26*(1+$C$3)</f>
        <v>7343195.8540000003</v>
      </c>
      <c r="R27" s="7">
        <f>'1-CBA'!R26*(1+$C$3)</f>
        <v>7343195.8540000003</v>
      </c>
      <c r="S27" s="7">
        <f>'1-CBA'!S26*(1+$C$3)</f>
        <v>7343195.8540000003</v>
      </c>
      <c r="T27" s="7">
        <f>'1-CBA'!T26*(1+$C$3)</f>
        <v>7343195.8540000003</v>
      </c>
      <c r="U27" s="7">
        <f>'1-CBA'!U26*(1+$C$3)</f>
        <v>7343195.8540000003</v>
      </c>
      <c r="V27" s="7">
        <f>'1-CBA'!V26*(1+$C$3)</f>
        <v>7343195.8540000003</v>
      </c>
      <c r="W27" s="7">
        <f>'1-CBA'!W26*(1+$C$3)</f>
        <v>7343195.8540000003</v>
      </c>
      <c r="X27" s="7">
        <f>'1-CBA'!X26*(1+$C$3)</f>
        <v>7343195.8540000003</v>
      </c>
      <c r="Y27" s="7">
        <f>'1-CBA'!Y26*(1+$C$3)</f>
        <v>7343195.8540000003</v>
      </c>
      <c r="Z27" s="7">
        <f>'1-CBA'!Z26*(1+$C$3)</f>
        <v>7343195.8540000003</v>
      </c>
      <c r="AA27" s="7">
        <f>'1-CBA'!AA26*(1+$C$3)</f>
        <v>7343195.8540000003</v>
      </c>
      <c r="AB27" s="7">
        <f>'1-CBA'!AB26*(1+$C$3)</f>
        <v>7343195.8540000003</v>
      </c>
      <c r="AC27" s="7">
        <f>'1-CBA'!AC26*(1+$C$3)</f>
        <v>7343195.8540000003</v>
      </c>
      <c r="AD27" s="7">
        <f>'1-CBA'!AD26*(1+$C$3)</f>
        <v>7343195.8540000003</v>
      </c>
      <c r="AE27" s="7">
        <f>'1-CBA'!AE26*(1+$C$3)</f>
        <v>7343195.8540000003</v>
      </c>
      <c r="AF27" s="7">
        <f>'1-CBA'!AF26*(1+$C$3)</f>
        <v>7343195.8540000003</v>
      </c>
      <c r="AG27" s="7">
        <f>'1-CBA'!AG26*(1+$C$3)</f>
        <v>7343195.8540000003</v>
      </c>
      <c r="AH27" s="7">
        <f>'1-CBA'!AH26*(1+$C$3)</f>
        <v>7343195.8540000003</v>
      </c>
      <c r="AI27" s="7">
        <f>'1-CBA'!AI26*(1+$C$3)</f>
        <v>7343195.8540000003</v>
      </c>
      <c r="AJ27" s="7">
        <f>'1-CBA'!AJ26*(1+$C$3)</f>
        <v>7343195.8540000003</v>
      </c>
      <c r="AK27" s="7">
        <f>'1-CBA'!AK26*(1+$C$3)</f>
        <v>7343195.8540000003</v>
      </c>
      <c r="AL27" s="7">
        <f>'1-CBA'!AL26*(1+$C$3)</f>
        <v>7343195.8540000003</v>
      </c>
      <c r="AM27" s="7">
        <f>'1-CBA'!AM26*(1+$C$3)</f>
        <v>7343195.8540000003</v>
      </c>
      <c r="AN27" s="7">
        <f>'1-CBA'!AN26*(1+$C$3)</f>
        <v>7343195.8540000003</v>
      </c>
      <c r="AO27" s="7">
        <f>'1-CBA'!AO26*(1+$C$3)</f>
        <v>7343195.8540000003</v>
      </c>
      <c r="AP27" s="7">
        <f>'1-CBA'!AP26*(1+$C$3)</f>
        <v>7343195.8540000003</v>
      </c>
      <c r="AQ27" s="7">
        <f>'1-CBA'!AQ26*(1+$C$3)</f>
        <v>7343195.8540000003</v>
      </c>
      <c r="AR27" s="7">
        <f>'1-CBA'!AR26*(1+$C$3)</f>
        <v>7343195.8540000003</v>
      </c>
      <c r="AS27" s="7">
        <f>'1-CBA'!AS26*(1+$C$3)</f>
        <v>7343195.8540000003</v>
      </c>
      <c r="AT27" s="7">
        <f>'1-CBA'!AT26*(1+$C$3)</f>
        <v>7343195.8540000003</v>
      </c>
      <c r="AU27" s="7">
        <f>'1-CBA'!AU26*(1+$C$3)</f>
        <v>7343195.8540000003</v>
      </c>
      <c r="AV27" s="7">
        <f>'1-CBA'!AV26*(1+$C$3)</f>
        <v>7343195.8540000003</v>
      </c>
      <c r="AW27" s="7">
        <f>'1-CBA'!AW26*(1+$C$3)</f>
        <v>7343195.8540000003</v>
      </c>
      <c r="AX27" s="7">
        <f>'1-CBA'!AX26*(1+$C$3)</f>
        <v>7343195.8540000003</v>
      </c>
      <c r="AY27" s="7">
        <f>'1-CBA'!AY26*(1+$C$3)</f>
        <v>7343195.8540000003</v>
      </c>
      <c r="AZ27" s="7">
        <f>'1-CBA'!AZ26*(1+$C$3)</f>
        <v>7343195.8540000003</v>
      </c>
      <c r="BA27" s="7">
        <f>'1-CBA'!BA26*(1+$C$3)</f>
        <v>7343195.8540000003</v>
      </c>
    </row>
    <row r="28" spans="1:53">
      <c r="B28" s="156" t="s">
        <v>25</v>
      </c>
      <c r="C28" s="84"/>
      <c r="I28" s="7">
        <f>'1-CBA'!I27*(1+$C$3)</f>
        <v>326930.89300000004</v>
      </c>
      <c r="J28" s="7">
        <f>'1-CBA'!J27*(1+$C$3)</f>
        <v>326930.89300000004</v>
      </c>
      <c r="K28" s="7">
        <f>'1-CBA'!K27*(1+$C$3)</f>
        <v>326930.89300000004</v>
      </c>
      <c r="L28" s="7">
        <f>'1-CBA'!L27*(1+$C$3)</f>
        <v>326930.89300000004</v>
      </c>
      <c r="M28" s="7">
        <f>'1-CBA'!M27*(1+$C$3)</f>
        <v>326930.89300000004</v>
      </c>
      <c r="N28" s="7">
        <f>'1-CBA'!N27*(1+$C$3)</f>
        <v>326930.89300000004</v>
      </c>
      <c r="O28" s="7">
        <f>'1-CBA'!O27*(1+$C$3)</f>
        <v>326930.89300000004</v>
      </c>
      <c r="P28" s="7">
        <f>'1-CBA'!P27*(1+$C$3)</f>
        <v>326930.89300000004</v>
      </c>
      <c r="Q28" s="7">
        <f>'1-CBA'!Q27*(1+$C$3)</f>
        <v>326930.89300000004</v>
      </c>
      <c r="R28" s="7">
        <f>'1-CBA'!R27*(1+$C$3)</f>
        <v>326930.89300000004</v>
      </c>
      <c r="S28" s="7">
        <f>'1-CBA'!S27*(1+$C$3)</f>
        <v>326930.89300000004</v>
      </c>
      <c r="T28" s="7">
        <f>'1-CBA'!T27*(1+$C$3)</f>
        <v>326930.89300000004</v>
      </c>
      <c r="U28" s="7">
        <f>'1-CBA'!U27*(1+$C$3)</f>
        <v>326930.89300000004</v>
      </c>
      <c r="V28" s="7">
        <f>'1-CBA'!V27*(1+$C$3)</f>
        <v>326930.89300000004</v>
      </c>
      <c r="W28" s="7">
        <f>'1-CBA'!W27*(1+$C$3)</f>
        <v>326930.89300000004</v>
      </c>
      <c r="X28" s="7">
        <f>'1-CBA'!X27*(1+$C$3)</f>
        <v>326930.89300000004</v>
      </c>
      <c r="Y28" s="7">
        <f>'1-CBA'!Y27*(1+$C$3)</f>
        <v>326930.89300000004</v>
      </c>
      <c r="Z28" s="7">
        <f>'1-CBA'!Z27*(1+$C$3)</f>
        <v>326930.89300000004</v>
      </c>
      <c r="AA28" s="7">
        <f>'1-CBA'!AA27*(1+$C$3)</f>
        <v>326930.89300000004</v>
      </c>
      <c r="AB28" s="7">
        <f>'1-CBA'!AB27*(1+$C$3)</f>
        <v>326930.89300000004</v>
      </c>
      <c r="AC28" s="7">
        <f>'1-CBA'!AC27*(1+$C$3)</f>
        <v>326930.89300000004</v>
      </c>
      <c r="AD28" s="7">
        <f>'1-CBA'!AD27*(1+$C$3)</f>
        <v>326930.89300000004</v>
      </c>
      <c r="AE28" s="7">
        <f>'1-CBA'!AE27*(1+$C$3)</f>
        <v>326930.89300000004</v>
      </c>
      <c r="AF28" s="7">
        <f>'1-CBA'!AF27*(1+$C$3)</f>
        <v>326930.89300000004</v>
      </c>
      <c r="AG28" s="7">
        <f>'1-CBA'!AG27*(1+$C$3)</f>
        <v>326930.89300000004</v>
      </c>
      <c r="AH28" s="7">
        <f>'1-CBA'!AH27*(1+$C$3)</f>
        <v>326930.89300000004</v>
      </c>
      <c r="AI28" s="7">
        <f>'1-CBA'!AI27*(1+$C$3)</f>
        <v>326930.89300000004</v>
      </c>
      <c r="AJ28" s="7">
        <f>'1-CBA'!AJ27*(1+$C$3)</f>
        <v>326930.89300000004</v>
      </c>
      <c r="AK28" s="7">
        <f>'1-CBA'!AK27*(1+$C$3)</f>
        <v>326930.89300000004</v>
      </c>
      <c r="AL28" s="7">
        <f>'1-CBA'!AL27*(1+$C$3)</f>
        <v>326930.89300000004</v>
      </c>
      <c r="AM28" s="7">
        <f>'1-CBA'!AM27*(1+$C$3)</f>
        <v>326930.89300000004</v>
      </c>
      <c r="AN28" s="7">
        <f>'1-CBA'!AN27*(1+$C$3)</f>
        <v>326930.89300000004</v>
      </c>
      <c r="AO28" s="7">
        <f>'1-CBA'!AO27*(1+$C$3)</f>
        <v>326930.89300000004</v>
      </c>
      <c r="AP28" s="7">
        <f>'1-CBA'!AP27*(1+$C$3)</f>
        <v>326930.89300000004</v>
      </c>
      <c r="AQ28" s="7">
        <f>'1-CBA'!AQ27*(1+$C$3)</f>
        <v>326930.89300000004</v>
      </c>
      <c r="AR28" s="7">
        <f>'1-CBA'!AR27*(1+$C$3)</f>
        <v>326930.89300000004</v>
      </c>
      <c r="AS28" s="7">
        <f>'1-CBA'!AS27*(1+$C$3)</f>
        <v>326930.89300000004</v>
      </c>
      <c r="AT28" s="7">
        <f>'1-CBA'!AT27*(1+$C$3)</f>
        <v>326930.89300000004</v>
      </c>
      <c r="AU28" s="7">
        <f>'1-CBA'!AU27*(1+$C$3)</f>
        <v>326930.89300000004</v>
      </c>
      <c r="AV28" s="7">
        <f>'1-CBA'!AV27*(1+$C$3)</f>
        <v>326930.89300000004</v>
      </c>
      <c r="AW28" s="7">
        <f>'1-CBA'!AW27*(1+$C$3)</f>
        <v>326930.89300000004</v>
      </c>
      <c r="AX28" s="7">
        <f>'1-CBA'!AX27*(1+$C$3)</f>
        <v>326930.89300000004</v>
      </c>
      <c r="AY28" s="7">
        <f>'1-CBA'!AY27*(1+$C$3)</f>
        <v>326930.89300000004</v>
      </c>
      <c r="AZ28" s="7">
        <f>'1-CBA'!AZ27*(1+$C$3)</f>
        <v>326930.89300000004</v>
      </c>
      <c r="BA28" s="7">
        <f>'1-CBA'!BA27*(1+$C$3)</f>
        <v>326930.89300000004</v>
      </c>
    </row>
    <row r="29" spans="1:53">
      <c r="B29" s="156" t="s">
        <v>11</v>
      </c>
      <c r="C29" s="84"/>
      <c r="I29" s="7">
        <f>'1-CBA'!I28*(1+$C$3)</f>
        <v>196504.573</v>
      </c>
      <c r="J29" s="7">
        <f>'1-CBA'!J28*(1+$C$3)</f>
        <v>196504.573</v>
      </c>
      <c r="K29" s="7">
        <f>'1-CBA'!K28*(1+$C$3)</f>
        <v>196504.573</v>
      </c>
      <c r="L29" s="7">
        <f>'1-CBA'!L28*(1+$C$3)</f>
        <v>196504.573</v>
      </c>
      <c r="M29" s="7">
        <f>'1-CBA'!M28*(1+$C$3)</f>
        <v>196504.573</v>
      </c>
      <c r="N29" s="7">
        <f>'1-CBA'!N28*(1+$C$3)</f>
        <v>196504.573</v>
      </c>
      <c r="O29" s="7">
        <f>'1-CBA'!O28*(1+$C$3)</f>
        <v>196504.573</v>
      </c>
      <c r="P29" s="7">
        <f>'1-CBA'!P28*(1+$C$3)</f>
        <v>196504.573</v>
      </c>
      <c r="Q29" s="7">
        <f>'1-CBA'!Q28*(1+$C$3)</f>
        <v>196504.573</v>
      </c>
      <c r="R29" s="7">
        <f>'1-CBA'!R28*(1+$C$3)</f>
        <v>196504.573</v>
      </c>
      <c r="S29" s="7">
        <f>'1-CBA'!S28*(1+$C$3)</f>
        <v>196504.573</v>
      </c>
      <c r="T29" s="7">
        <f>'1-CBA'!T28*(1+$C$3)</f>
        <v>196504.573</v>
      </c>
      <c r="U29" s="7">
        <f>'1-CBA'!U28*(1+$C$3)</f>
        <v>196504.573</v>
      </c>
      <c r="V29" s="7">
        <f>'1-CBA'!V28*(1+$C$3)</f>
        <v>196504.573</v>
      </c>
      <c r="W29" s="7">
        <f>'1-CBA'!W28*(1+$C$3)</f>
        <v>196504.573</v>
      </c>
      <c r="X29" s="7">
        <f>'1-CBA'!X28*(1+$C$3)</f>
        <v>196504.573</v>
      </c>
      <c r="Y29" s="7">
        <f>'1-CBA'!Y28*(1+$C$3)</f>
        <v>196504.573</v>
      </c>
      <c r="Z29" s="7">
        <f>'1-CBA'!Z28*(1+$C$3)</f>
        <v>196504.573</v>
      </c>
      <c r="AA29" s="7">
        <f>'1-CBA'!AA28*(1+$C$3)</f>
        <v>196504.573</v>
      </c>
      <c r="AB29" s="7">
        <f>'1-CBA'!AB28*(1+$C$3)</f>
        <v>196504.573</v>
      </c>
      <c r="AC29" s="7">
        <f>'1-CBA'!AC28*(1+$C$3)</f>
        <v>196504.573</v>
      </c>
      <c r="AD29" s="7">
        <f>'1-CBA'!AD28*(1+$C$3)</f>
        <v>196504.573</v>
      </c>
      <c r="AE29" s="7">
        <f>'1-CBA'!AE28*(1+$C$3)</f>
        <v>196504.573</v>
      </c>
      <c r="AF29" s="7">
        <f>'1-CBA'!AF28*(1+$C$3)</f>
        <v>196504.573</v>
      </c>
      <c r="AG29" s="7">
        <f>'1-CBA'!AG28*(1+$C$3)</f>
        <v>196504.573</v>
      </c>
      <c r="AH29" s="7">
        <f>'1-CBA'!AH28*(1+$C$3)</f>
        <v>196504.573</v>
      </c>
      <c r="AI29" s="7">
        <f>'1-CBA'!AI28*(1+$C$3)</f>
        <v>196504.573</v>
      </c>
      <c r="AJ29" s="7">
        <f>'1-CBA'!AJ28*(1+$C$3)</f>
        <v>196504.573</v>
      </c>
      <c r="AK29" s="7">
        <f>'1-CBA'!AK28*(1+$C$3)</f>
        <v>196504.573</v>
      </c>
      <c r="AL29" s="7">
        <f>'1-CBA'!AL28*(1+$C$3)</f>
        <v>196504.573</v>
      </c>
      <c r="AM29" s="7">
        <f>'1-CBA'!AM28*(1+$C$3)</f>
        <v>196504.573</v>
      </c>
      <c r="AN29" s="7">
        <f>'1-CBA'!AN28*(1+$C$3)</f>
        <v>196504.573</v>
      </c>
      <c r="AO29" s="7">
        <f>'1-CBA'!AO28*(1+$C$3)</f>
        <v>196504.573</v>
      </c>
      <c r="AP29" s="7">
        <f>'1-CBA'!AP28*(1+$C$3)</f>
        <v>196504.573</v>
      </c>
      <c r="AQ29" s="7">
        <f>'1-CBA'!AQ28*(1+$C$3)</f>
        <v>196504.573</v>
      </c>
      <c r="AR29" s="7">
        <f>'1-CBA'!AR28*(1+$C$3)</f>
        <v>196504.573</v>
      </c>
      <c r="AS29" s="7">
        <f>'1-CBA'!AS28*(1+$C$3)</f>
        <v>196504.573</v>
      </c>
      <c r="AT29" s="7">
        <f>'1-CBA'!AT28*(1+$C$3)</f>
        <v>196504.573</v>
      </c>
      <c r="AU29" s="7">
        <f>'1-CBA'!AU28*(1+$C$3)</f>
        <v>196504.573</v>
      </c>
      <c r="AV29" s="7">
        <f>'1-CBA'!AV28*(1+$C$3)</f>
        <v>196504.573</v>
      </c>
      <c r="AW29" s="7">
        <f>'1-CBA'!AW28*(1+$C$3)</f>
        <v>196504.573</v>
      </c>
      <c r="AX29" s="7">
        <f>'1-CBA'!AX28*(1+$C$3)</f>
        <v>196504.573</v>
      </c>
      <c r="AY29" s="7">
        <f>'1-CBA'!AY28*(1+$C$3)</f>
        <v>196504.573</v>
      </c>
      <c r="AZ29" s="7">
        <f>'1-CBA'!AZ28*(1+$C$3)</f>
        <v>196504.573</v>
      </c>
      <c r="BA29" s="7">
        <f>'1-CBA'!BA28*(1+$C$3)</f>
        <v>196504.573</v>
      </c>
    </row>
    <row r="30" spans="1:53">
      <c r="B30" s="156" t="s">
        <v>3</v>
      </c>
      <c r="C30" s="84"/>
      <c r="I30" s="7">
        <f>'1-CBA'!I29*(1+$C$3)</f>
        <v>6171808.5085000005</v>
      </c>
      <c r="J30" s="7">
        <f>'1-CBA'!J29*(1+$C$3)</f>
        <v>6171808.5085000005</v>
      </c>
      <c r="K30" s="7">
        <f>'1-CBA'!K29*(1+$C$3)</f>
        <v>6171808.5085000005</v>
      </c>
      <c r="L30" s="7">
        <f>'1-CBA'!L29*(1+$C$3)</f>
        <v>6171808.5085000005</v>
      </c>
      <c r="M30" s="7">
        <f>'1-CBA'!M29*(1+$C$3)</f>
        <v>6171808.5085000005</v>
      </c>
      <c r="N30" s="7">
        <f>'1-CBA'!N29*(1+$C$3)</f>
        <v>6171808.5085000005</v>
      </c>
      <c r="O30" s="7">
        <f>'1-CBA'!O29*(1+$C$3)</f>
        <v>6171808.5085000005</v>
      </c>
      <c r="P30" s="7">
        <f>'1-CBA'!P29*(1+$C$3)</f>
        <v>6171808.5085000005</v>
      </c>
      <c r="Q30" s="7">
        <f>'1-CBA'!Q29*(1+$C$3)</f>
        <v>6171808.5085000005</v>
      </c>
      <c r="R30" s="7">
        <f>'1-CBA'!R29*(1+$C$3)</f>
        <v>6171808.5085000005</v>
      </c>
      <c r="S30" s="7">
        <f>'1-CBA'!S29*(1+$C$3)</f>
        <v>6171808.5085000005</v>
      </c>
      <c r="T30" s="7">
        <f>'1-CBA'!T29*(1+$C$3)</f>
        <v>6171808.5085000005</v>
      </c>
      <c r="U30" s="7">
        <f>'1-CBA'!U29*(1+$C$3)</f>
        <v>6171808.5085000005</v>
      </c>
      <c r="V30" s="7">
        <f>'1-CBA'!V29*(1+$C$3)</f>
        <v>6171808.5085000005</v>
      </c>
      <c r="W30" s="7">
        <f>'1-CBA'!W29*(1+$C$3)</f>
        <v>6171808.5085000005</v>
      </c>
      <c r="X30" s="7">
        <f>'1-CBA'!X29*(1+$C$3)</f>
        <v>6171808.5085000005</v>
      </c>
      <c r="Y30" s="7">
        <f>'1-CBA'!Y29*(1+$C$3)</f>
        <v>6171808.5085000005</v>
      </c>
      <c r="Z30" s="7">
        <f>'1-CBA'!Z29*(1+$C$3)</f>
        <v>6171808.5085000005</v>
      </c>
      <c r="AA30" s="7">
        <f>'1-CBA'!AA29*(1+$C$3)</f>
        <v>6171808.5085000005</v>
      </c>
      <c r="AB30" s="7">
        <f>'1-CBA'!AB29*(1+$C$3)</f>
        <v>6171808.5085000005</v>
      </c>
      <c r="AC30" s="7">
        <f>'1-CBA'!AC29*(1+$C$3)</f>
        <v>6171808.5085000005</v>
      </c>
      <c r="AD30" s="7">
        <f>'1-CBA'!AD29*(1+$C$3)</f>
        <v>6171808.5085000005</v>
      </c>
      <c r="AE30" s="7">
        <f>'1-CBA'!AE29*(1+$C$3)</f>
        <v>6171808.5085000005</v>
      </c>
      <c r="AF30" s="7">
        <f>'1-CBA'!AF29*(1+$C$3)</f>
        <v>6171808.5085000005</v>
      </c>
      <c r="AG30" s="7">
        <f>'1-CBA'!AG29*(1+$C$3)</f>
        <v>6171808.5085000005</v>
      </c>
      <c r="AH30" s="7">
        <f>'1-CBA'!AH29*(1+$C$3)</f>
        <v>6171808.5085000005</v>
      </c>
      <c r="AI30" s="7">
        <f>'1-CBA'!AI29*(1+$C$3)</f>
        <v>6171808.5085000005</v>
      </c>
      <c r="AJ30" s="7">
        <f>'1-CBA'!AJ29*(1+$C$3)</f>
        <v>6171808.5085000005</v>
      </c>
      <c r="AK30" s="7">
        <f>'1-CBA'!AK29*(1+$C$3)</f>
        <v>6171808.5085000005</v>
      </c>
      <c r="AL30" s="7">
        <f>'1-CBA'!AL29*(1+$C$3)</f>
        <v>6171808.5085000005</v>
      </c>
      <c r="AM30" s="7">
        <f>'1-CBA'!AM29*(1+$C$3)</f>
        <v>6171808.5085000005</v>
      </c>
      <c r="AN30" s="7">
        <f>'1-CBA'!AN29*(1+$C$3)</f>
        <v>6171808.5085000005</v>
      </c>
      <c r="AO30" s="7">
        <f>'1-CBA'!AO29*(1+$C$3)</f>
        <v>6171808.5085000005</v>
      </c>
      <c r="AP30" s="7">
        <f>'1-CBA'!AP29*(1+$C$3)</f>
        <v>6171808.5085000005</v>
      </c>
      <c r="AQ30" s="7">
        <f>'1-CBA'!AQ29*(1+$C$3)</f>
        <v>6171808.5085000005</v>
      </c>
      <c r="AR30" s="7">
        <f>'1-CBA'!AR29*(1+$C$3)</f>
        <v>6171808.5085000005</v>
      </c>
      <c r="AS30" s="7">
        <f>'1-CBA'!AS29*(1+$C$3)</f>
        <v>6171808.5085000005</v>
      </c>
      <c r="AT30" s="7">
        <f>'1-CBA'!AT29*(1+$C$3)</f>
        <v>6171808.5085000005</v>
      </c>
      <c r="AU30" s="7">
        <f>'1-CBA'!AU29*(1+$C$3)</f>
        <v>6171808.5085000005</v>
      </c>
      <c r="AV30" s="7">
        <f>'1-CBA'!AV29*(1+$C$3)</f>
        <v>6171808.5085000005</v>
      </c>
      <c r="AW30" s="7">
        <f>'1-CBA'!AW29*(1+$C$3)</f>
        <v>6171808.5085000005</v>
      </c>
      <c r="AX30" s="7">
        <f>'1-CBA'!AX29*(1+$C$3)</f>
        <v>6171808.5085000005</v>
      </c>
      <c r="AY30" s="7">
        <f>'1-CBA'!AY29*(1+$C$3)</f>
        <v>6171808.5085000005</v>
      </c>
      <c r="AZ30" s="7">
        <f>'1-CBA'!AZ29*(1+$C$3)</f>
        <v>6171808.5085000005</v>
      </c>
      <c r="BA30" s="7">
        <f>'1-CBA'!BA29*(1+$C$3)</f>
        <v>6171808.5085000005</v>
      </c>
    </row>
    <row r="31" spans="1:53">
      <c r="B31" s="155" t="s">
        <v>51</v>
      </c>
      <c r="C31" s="78"/>
      <c r="D31" s="82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</row>
    <row r="32" spans="1:53">
      <c r="B32" s="156" t="s">
        <v>9</v>
      </c>
      <c r="C32" s="84"/>
      <c r="I32" s="7">
        <f>'1-CBA'!I31*(1+$C$3)</f>
        <v>21797524.700904846</v>
      </c>
      <c r="J32" s="7">
        <f>'1-CBA'!J31*(1+$C$3)</f>
        <v>21797524.700904846</v>
      </c>
      <c r="K32" s="7">
        <f>'1-CBA'!K31*(1+$C$3)</f>
        <v>21797524.700904846</v>
      </c>
      <c r="L32" s="7">
        <f>'1-CBA'!L31*(1+$C$3)</f>
        <v>21797524.700904846</v>
      </c>
      <c r="M32" s="7">
        <f>'1-CBA'!M31*(1+$C$3)</f>
        <v>21797524.700904846</v>
      </c>
      <c r="N32" s="7">
        <f>'1-CBA'!N31*(1+$C$3)</f>
        <v>43595049.401809692</v>
      </c>
      <c r="O32" s="7">
        <f>'1-CBA'!O31*(1+$C$3)</f>
        <v>43595049.401809692</v>
      </c>
      <c r="P32" s="7">
        <f>'1-CBA'!P31*(1+$C$3)</f>
        <v>43595049.401809692</v>
      </c>
      <c r="Q32" s="7">
        <f>'1-CBA'!Q31*(1+$C$3)</f>
        <v>43595049.401809692</v>
      </c>
      <c r="R32" s="7">
        <f>'1-CBA'!R31*(1+$C$3)</f>
        <v>43595049.401809692</v>
      </c>
      <c r="S32" s="7">
        <f>'1-CBA'!S31*(1+$C$3)</f>
        <v>43595049.401809692</v>
      </c>
      <c r="T32" s="7">
        <f>'1-CBA'!T31*(1+$C$3)</f>
        <v>43595049.401809692</v>
      </c>
      <c r="U32" s="7">
        <f>'1-CBA'!U31*(1+$C$3)</f>
        <v>43595049.401809692</v>
      </c>
      <c r="V32" s="7">
        <f>'1-CBA'!V31*(1+$C$3)</f>
        <v>43595049.401809692</v>
      </c>
      <c r="W32" s="7">
        <f>'1-CBA'!W31*(1+$C$3)</f>
        <v>43595049.401809692</v>
      </c>
      <c r="X32" s="7">
        <f>'1-CBA'!X31*(1+$C$3)</f>
        <v>65392574.102714539</v>
      </c>
      <c r="Y32" s="7">
        <f>'1-CBA'!Y31*(1+$C$3)</f>
        <v>65392574.102714539</v>
      </c>
      <c r="Z32" s="7">
        <f>'1-CBA'!Z31*(1+$C$3)</f>
        <v>65392574.102714539</v>
      </c>
      <c r="AA32" s="7">
        <f>'1-CBA'!AA31*(1+$C$3)</f>
        <v>65392574.102714539</v>
      </c>
      <c r="AB32" s="7">
        <f>'1-CBA'!AB31*(1+$C$3)</f>
        <v>65392574.102714539</v>
      </c>
      <c r="AC32" s="7">
        <f>'1-CBA'!AC31*(1+$C$3)</f>
        <v>65392574.102714539</v>
      </c>
      <c r="AD32" s="7">
        <f>'1-CBA'!AD31*(1+$C$3)</f>
        <v>65392574.102714539</v>
      </c>
      <c r="AE32" s="7">
        <f>'1-CBA'!AE31*(1+$C$3)</f>
        <v>65392574.102714539</v>
      </c>
      <c r="AF32" s="7">
        <f>'1-CBA'!AF31*(1+$C$3)</f>
        <v>65392574.102714539</v>
      </c>
      <c r="AG32" s="7">
        <f>'1-CBA'!AG31*(1+$C$3)</f>
        <v>65392574.102714539</v>
      </c>
      <c r="AH32" s="7">
        <f>'1-CBA'!AH31*(1+$C$3)</f>
        <v>65392574.102714539</v>
      </c>
      <c r="AI32" s="7">
        <f>'1-CBA'!AI31*(1+$C$3)</f>
        <v>65392574.102714539</v>
      </c>
      <c r="AJ32" s="7">
        <f>'1-CBA'!AJ31*(1+$C$3)</f>
        <v>65392574.102714539</v>
      </c>
      <c r="AK32" s="7">
        <f>'1-CBA'!AK31*(1+$C$3)</f>
        <v>65392574.102714539</v>
      </c>
      <c r="AL32" s="7">
        <f>'1-CBA'!AL31*(1+$C$3)</f>
        <v>65392574.102714539</v>
      </c>
      <c r="AM32" s="7">
        <f>'1-CBA'!AM31*(1+$C$3)</f>
        <v>65392574.102714539</v>
      </c>
      <c r="AN32" s="7">
        <f>'1-CBA'!AN31*(1+$C$3)</f>
        <v>65392574.102714539</v>
      </c>
      <c r="AO32" s="7">
        <f>'1-CBA'!AO31*(1+$C$3)</f>
        <v>65392574.102714539</v>
      </c>
      <c r="AP32" s="7">
        <f>'1-CBA'!AP31*(1+$C$3)</f>
        <v>65392574.102714539</v>
      </c>
      <c r="AQ32" s="7">
        <f>'1-CBA'!AQ31*(1+$C$3)</f>
        <v>65392574.102714539</v>
      </c>
      <c r="AR32" s="7">
        <f>'1-CBA'!AR31*(1+$C$3)</f>
        <v>65392574.102714539</v>
      </c>
      <c r="AS32" s="7">
        <f>'1-CBA'!AS31*(1+$C$3)</f>
        <v>65392574.102714539</v>
      </c>
      <c r="AT32" s="7">
        <f>'1-CBA'!AT31*(1+$C$3)</f>
        <v>65392574.102714539</v>
      </c>
      <c r="AU32" s="7">
        <f>'1-CBA'!AU31*(1+$C$3)</f>
        <v>65392574.102714539</v>
      </c>
      <c r="AV32" s="7">
        <f>'1-CBA'!AV31*(1+$C$3)</f>
        <v>65392574.102714539</v>
      </c>
      <c r="AW32" s="7">
        <f>'1-CBA'!AW31*(1+$C$3)</f>
        <v>65392574.102714539</v>
      </c>
      <c r="AX32" s="7">
        <f>'1-CBA'!AX31*(1+$C$3)</f>
        <v>65392574.102714539</v>
      </c>
      <c r="AY32" s="7">
        <f>'1-CBA'!AY31*(1+$C$3)</f>
        <v>65392574.102714539</v>
      </c>
      <c r="AZ32" s="7">
        <f>'1-CBA'!AZ31*(1+$C$3)</f>
        <v>65392574.102714539</v>
      </c>
      <c r="BA32" s="7">
        <f>'1-CBA'!BA31*(1+$C$3)</f>
        <v>65392574.102714539</v>
      </c>
    </row>
    <row r="33" spans="2:53">
      <c r="B33" s="156" t="s">
        <v>25</v>
      </c>
      <c r="C33" s="84"/>
      <c r="I33" s="7">
        <f>'1-CBA'!I32*(1+$C$3)</f>
        <v>429584.45073376596</v>
      </c>
      <c r="J33" s="7">
        <f>'1-CBA'!J32*(1+$C$3)</f>
        <v>429584.45073376596</v>
      </c>
      <c r="K33" s="7">
        <f>'1-CBA'!K32*(1+$C$3)</f>
        <v>429584.45073376596</v>
      </c>
      <c r="L33" s="7">
        <f>'1-CBA'!L32*(1+$C$3)</f>
        <v>429584.45073376596</v>
      </c>
      <c r="M33" s="7">
        <f>'1-CBA'!M32*(1+$C$3)</f>
        <v>429584.45073376596</v>
      </c>
      <c r="N33" s="7">
        <f>'1-CBA'!N32*(1+$C$3)</f>
        <v>859168.90146753192</v>
      </c>
      <c r="O33" s="7">
        <f>'1-CBA'!O32*(1+$C$3)</f>
        <v>859168.90146753192</v>
      </c>
      <c r="P33" s="7">
        <f>'1-CBA'!P32*(1+$C$3)</f>
        <v>859168.90146753192</v>
      </c>
      <c r="Q33" s="7">
        <f>'1-CBA'!Q32*(1+$C$3)</f>
        <v>859168.90146753192</v>
      </c>
      <c r="R33" s="7">
        <f>'1-CBA'!R32*(1+$C$3)</f>
        <v>859168.90146753192</v>
      </c>
      <c r="S33" s="7">
        <f>'1-CBA'!S32*(1+$C$3)</f>
        <v>859168.90146753192</v>
      </c>
      <c r="T33" s="7">
        <f>'1-CBA'!T32*(1+$C$3)</f>
        <v>859168.90146753192</v>
      </c>
      <c r="U33" s="7">
        <f>'1-CBA'!U32*(1+$C$3)</f>
        <v>859168.90146753192</v>
      </c>
      <c r="V33" s="7">
        <f>'1-CBA'!V32*(1+$C$3)</f>
        <v>859168.90146753192</v>
      </c>
      <c r="W33" s="7">
        <f>'1-CBA'!W32*(1+$C$3)</f>
        <v>859168.90146753192</v>
      </c>
      <c r="X33" s="7">
        <f>'1-CBA'!X32*(1+$C$3)</f>
        <v>1288753.3522012979</v>
      </c>
      <c r="Y33" s="7">
        <f>'1-CBA'!Y32*(1+$C$3)</f>
        <v>1288753.3522012979</v>
      </c>
      <c r="Z33" s="7">
        <f>'1-CBA'!Z32*(1+$C$3)</f>
        <v>1288753.3522012979</v>
      </c>
      <c r="AA33" s="7">
        <f>'1-CBA'!AA32*(1+$C$3)</f>
        <v>1288753.3522012979</v>
      </c>
      <c r="AB33" s="7">
        <f>'1-CBA'!AB32*(1+$C$3)</f>
        <v>1288753.3522012979</v>
      </c>
      <c r="AC33" s="7">
        <f>'1-CBA'!AC32*(1+$C$3)</f>
        <v>1288753.3522012979</v>
      </c>
      <c r="AD33" s="7">
        <f>'1-CBA'!AD32*(1+$C$3)</f>
        <v>1288753.3522012979</v>
      </c>
      <c r="AE33" s="7">
        <f>'1-CBA'!AE32*(1+$C$3)</f>
        <v>1288753.3522012979</v>
      </c>
      <c r="AF33" s="7">
        <f>'1-CBA'!AF32*(1+$C$3)</f>
        <v>1288753.3522012979</v>
      </c>
      <c r="AG33" s="7">
        <f>'1-CBA'!AG32*(1+$C$3)</f>
        <v>1288753.3522012979</v>
      </c>
      <c r="AH33" s="7">
        <f>'1-CBA'!AH32*(1+$C$3)</f>
        <v>1288753.3522012979</v>
      </c>
      <c r="AI33" s="7">
        <f>'1-CBA'!AI32*(1+$C$3)</f>
        <v>1288753.3522012979</v>
      </c>
      <c r="AJ33" s="7">
        <f>'1-CBA'!AJ32*(1+$C$3)</f>
        <v>1288753.3522012979</v>
      </c>
      <c r="AK33" s="7">
        <f>'1-CBA'!AK32*(1+$C$3)</f>
        <v>1288753.3522012979</v>
      </c>
      <c r="AL33" s="7">
        <f>'1-CBA'!AL32*(1+$C$3)</f>
        <v>1288753.3522012979</v>
      </c>
      <c r="AM33" s="7">
        <f>'1-CBA'!AM32*(1+$C$3)</f>
        <v>1288753.3522012979</v>
      </c>
      <c r="AN33" s="7">
        <f>'1-CBA'!AN32*(1+$C$3)</f>
        <v>1288753.3522012979</v>
      </c>
      <c r="AO33" s="7">
        <f>'1-CBA'!AO32*(1+$C$3)</f>
        <v>1288753.3522012979</v>
      </c>
      <c r="AP33" s="7">
        <f>'1-CBA'!AP32*(1+$C$3)</f>
        <v>1288753.3522012979</v>
      </c>
      <c r="AQ33" s="7">
        <f>'1-CBA'!AQ32*(1+$C$3)</f>
        <v>1288753.3522012979</v>
      </c>
      <c r="AR33" s="7">
        <f>'1-CBA'!AR32*(1+$C$3)</f>
        <v>1288753.3522012979</v>
      </c>
      <c r="AS33" s="7">
        <f>'1-CBA'!AS32*(1+$C$3)</f>
        <v>1288753.3522012979</v>
      </c>
      <c r="AT33" s="7">
        <f>'1-CBA'!AT32*(1+$C$3)</f>
        <v>1288753.3522012979</v>
      </c>
      <c r="AU33" s="7">
        <f>'1-CBA'!AU32*(1+$C$3)</f>
        <v>1288753.3522012979</v>
      </c>
      <c r="AV33" s="7">
        <f>'1-CBA'!AV32*(1+$C$3)</f>
        <v>1288753.3522012979</v>
      </c>
      <c r="AW33" s="7">
        <f>'1-CBA'!AW32*(1+$C$3)</f>
        <v>1288753.3522012979</v>
      </c>
      <c r="AX33" s="7">
        <f>'1-CBA'!AX32*(1+$C$3)</f>
        <v>1288753.3522012979</v>
      </c>
      <c r="AY33" s="7">
        <f>'1-CBA'!AY32*(1+$C$3)</f>
        <v>1288753.3522012979</v>
      </c>
      <c r="AZ33" s="7">
        <f>'1-CBA'!AZ32*(1+$C$3)</f>
        <v>1288753.3522012979</v>
      </c>
      <c r="BA33" s="7">
        <f>'1-CBA'!BA32*(1+$C$3)</f>
        <v>1288753.3522012979</v>
      </c>
    </row>
    <row r="34" spans="2:53">
      <c r="B34" s="156" t="s">
        <v>11</v>
      </c>
      <c r="C34" s="84"/>
      <c r="I34" s="7">
        <f>'1-CBA'!I33*(1+$C$3)</f>
        <v>30686.183040690608</v>
      </c>
      <c r="J34" s="7">
        <f>'1-CBA'!J33*(1+$C$3)</f>
        <v>30686.183040690608</v>
      </c>
      <c r="K34" s="7">
        <f>'1-CBA'!K33*(1+$C$3)</f>
        <v>30686.183040690608</v>
      </c>
      <c r="L34" s="7">
        <f>'1-CBA'!L33*(1+$C$3)</f>
        <v>30686.183040690608</v>
      </c>
      <c r="M34" s="7">
        <f>'1-CBA'!M33*(1+$C$3)</f>
        <v>30686.183040690608</v>
      </c>
      <c r="N34" s="7">
        <f>'1-CBA'!N33*(1+$C$3)</f>
        <v>61372.366081380285</v>
      </c>
      <c r="O34" s="7">
        <f>'1-CBA'!O33*(1+$C$3)</f>
        <v>61372.366081380285</v>
      </c>
      <c r="P34" s="7">
        <f>'1-CBA'!P33*(1+$C$3)</f>
        <v>61372.366081380285</v>
      </c>
      <c r="Q34" s="7">
        <f>'1-CBA'!Q33*(1+$C$3)</f>
        <v>61372.366081380285</v>
      </c>
      <c r="R34" s="7">
        <f>'1-CBA'!R33*(1+$C$3)</f>
        <v>61372.366081380285</v>
      </c>
      <c r="S34" s="7">
        <f>'1-CBA'!S33*(1+$C$3)</f>
        <v>61372.366081380285</v>
      </c>
      <c r="T34" s="7">
        <f>'1-CBA'!T33*(1+$C$3)</f>
        <v>61372.366081380285</v>
      </c>
      <c r="U34" s="7">
        <f>'1-CBA'!U33*(1+$C$3)</f>
        <v>61372.366081380285</v>
      </c>
      <c r="V34" s="7">
        <f>'1-CBA'!V33*(1+$C$3)</f>
        <v>61372.366081380285</v>
      </c>
      <c r="W34" s="7">
        <f>'1-CBA'!W33*(1+$C$3)</f>
        <v>61372.366081380285</v>
      </c>
      <c r="X34" s="7">
        <f>'1-CBA'!X33*(1+$C$3)</f>
        <v>92058.549122070894</v>
      </c>
      <c r="Y34" s="7">
        <f>'1-CBA'!Y33*(1+$C$3)</f>
        <v>92058.549122070894</v>
      </c>
      <c r="Z34" s="7">
        <f>'1-CBA'!Z33*(1+$C$3)</f>
        <v>92058.549122070894</v>
      </c>
      <c r="AA34" s="7">
        <f>'1-CBA'!AA33*(1+$C$3)</f>
        <v>92058.549122070894</v>
      </c>
      <c r="AB34" s="7">
        <f>'1-CBA'!AB33*(1+$C$3)</f>
        <v>92058.549122070894</v>
      </c>
      <c r="AC34" s="7">
        <f>'1-CBA'!AC33*(1+$C$3)</f>
        <v>92058.549122070894</v>
      </c>
      <c r="AD34" s="7">
        <f>'1-CBA'!AD33*(1+$C$3)</f>
        <v>92058.549122070894</v>
      </c>
      <c r="AE34" s="7">
        <f>'1-CBA'!AE33*(1+$C$3)</f>
        <v>92058.549122070894</v>
      </c>
      <c r="AF34" s="7">
        <f>'1-CBA'!AF33*(1+$C$3)</f>
        <v>92058.549122070894</v>
      </c>
      <c r="AG34" s="7">
        <f>'1-CBA'!AG33*(1+$C$3)</f>
        <v>92058.549122070894</v>
      </c>
      <c r="AH34" s="7">
        <f>'1-CBA'!AH33*(1+$C$3)</f>
        <v>92058.549122070894</v>
      </c>
      <c r="AI34" s="7">
        <f>'1-CBA'!AI33*(1+$C$3)</f>
        <v>92058.549122070894</v>
      </c>
      <c r="AJ34" s="7">
        <f>'1-CBA'!AJ33*(1+$C$3)</f>
        <v>92058.549122070894</v>
      </c>
      <c r="AK34" s="7">
        <f>'1-CBA'!AK33*(1+$C$3)</f>
        <v>92058.549122070894</v>
      </c>
      <c r="AL34" s="7">
        <f>'1-CBA'!AL33*(1+$C$3)</f>
        <v>92058.549122070894</v>
      </c>
      <c r="AM34" s="7">
        <f>'1-CBA'!AM33*(1+$C$3)</f>
        <v>92058.549122070894</v>
      </c>
      <c r="AN34" s="7">
        <f>'1-CBA'!AN33*(1+$C$3)</f>
        <v>92058.549122070894</v>
      </c>
      <c r="AO34" s="7">
        <f>'1-CBA'!AO33*(1+$C$3)</f>
        <v>92058.549122070894</v>
      </c>
      <c r="AP34" s="7">
        <f>'1-CBA'!AP33*(1+$C$3)</f>
        <v>92058.549122070894</v>
      </c>
      <c r="AQ34" s="7">
        <f>'1-CBA'!AQ33*(1+$C$3)</f>
        <v>92058.549122070894</v>
      </c>
      <c r="AR34" s="7">
        <f>'1-CBA'!AR33*(1+$C$3)</f>
        <v>92058.549122070894</v>
      </c>
      <c r="AS34" s="7">
        <f>'1-CBA'!AS33*(1+$C$3)</f>
        <v>92058.549122070894</v>
      </c>
      <c r="AT34" s="7">
        <f>'1-CBA'!AT33*(1+$C$3)</f>
        <v>92058.549122070894</v>
      </c>
      <c r="AU34" s="7">
        <f>'1-CBA'!AU33*(1+$C$3)</f>
        <v>92058.549122070894</v>
      </c>
      <c r="AV34" s="7">
        <f>'1-CBA'!AV33*(1+$C$3)</f>
        <v>92058.549122070894</v>
      </c>
      <c r="AW34" s="7">
        <f>'1-CBA'!AW33*(1+$C$3)</f>
        <v>92058.549122070894</v>
      </c>
      <c r="AX34" s="7">
        <f>'1-CBA'!AX33*(1+$C$3)</f>
        <v>92058.549122070894</v>
      </c>
      <c r="AY34" s="7">
        <f>'1-CBA'!AY33*(1+$C$3)</f>
        <v>92058.549122070894</v>
      </c>
      <c r="AZ34" s="7">
        <f>'1-CBA'!AZ33*(1+$C$3)</f>
        <v>92058.549122070894</v>
      </c>
      <c r="BA34" s="7">
        <f>'1-CBA'!BA33*(1+$C$3)</f>
        <v>92058.549122070894</v>
      </c>
    </row>
    <row r="35" spans="2:53">
      <c r="B35" s="156" t="s">
        <v>26</v>
      </c>
      <c r="C35" s="84"/>
      <c r="I35" s="7">
        <f>'1-CBA'!I34*(1+$C$3)</f>
        <v>7654418.1006820202</v>
      </c>
      <c r="J35" s="7">
        <f>'1-CBA'!J34*(1+$C$3)</f>
        <v>7654418.1006820202</v>
      </c>
      <c r="K35" s="7">
        <f>'1-CBA'!K34*(1+$C$3)</f>
        <v>7654418.1006820202</v>
      </c>
      <c r="L35" s="7">
        <f>'1-CBA'!L34*(1+$C$3)</f>
        <v>7654418.1006820202</v>
      </c>
      <c r="M35" s="7">
        <f>'1-CBA'!M34*(1+$C$3)</f>
        <v>7654418.1006820202</v>
      </c>
      <c r="N35" s="7">
        <f>'1-CBA'!N34*(1+$C$3)</f>
        <v>15308836.20136404</v>
      </c>
      <c r="O35" s="7">
        <f>'1-CBA'!O34*(1+$C$3)</f>
        <v>15308836.20136404</v>
      </c>
      <c r="P35" s="7">
        <f>'1-CBA'!P34*(1+$C$3)</f>
        <v>15308836.20136404</v>
      </c>
      <c r="Q35" s="7">
        <f>'1-CBA'!Q34*(1+$C$3)</f>
        <v>15308836.20136404</v>
      </c>
      <c r="R35" s="7">
        <f>'1-CBA'!R34*(1+$C$3)</f>
        <v>15308836.20136404</v>
      </c>
      <c r="S35" s="7">
        <f>'1-CBA'!S34*(1+$C$3)</f>
        <v>15308836.20136404</v>
      </c>
      <c r="T35" s="7">
        <f>'1-CBA'!T34*(1+$C$3)</f>
        <v>15308836.20136404</v>
      </c>
      <c r="U35" s="7">
        <f>'1-CBA'!U34*(1+$C$3)</f>
        <v>15308836.20136404</v>
      </c>
      <c r="V35" s="7">
        <f>'1-CBA'!V34*(1+$C$3)</f>
        <v>15308836.20136404</v>
      </c>
      <c r="W35" s="7">
        <f>'1-CBA'!W34*(1+$C$3)</f>
        <v>15308836.20136404</v>
      </c>
      <c r="X35" s="7">
        <f>'1-CBA'!X34*(1+$C$3)</f>
        <v>22963254.302046061</v>
      </c>
      <c r="Y35" s="7">
        <f>'1-CBA'!Y34*(1+$C$3)</f>
        <v>22963254.302046061</v>
      </c>
      <c r="Z35" s="7">
        <f>'1-CBA'!Z34*(1+$C$3)</f>
        <v>22963254.302046061</v>
      </c>
      <c r="AA35" s="7">
        <f>'1-CBA'!AA34*(1+$C$3)</f>
        <v>22963254.302046061</v>
      </c>
      <c r="AB35" s="7">
        <f>'1-CBA'!AB34*(1+$C$3)</f>
        <v>22963254.302046061</v>
      </c>
      <c r="AC35" s="7">
        <f>'1-CBA'!AC34*(1+$C$3)</f>
        <v>22963254.302046061</v>
      </c>
      <c r="AD35" s="7">
        <f>'1-CBA'!AD34*(1+$C$3)</f>
        <v>22963254.302046061</v>
      </c>
      <c r="AE35" s="7">
        <f>'1-CBA'!AE34*(1+$C$3)</f>
        <v>22963254.302046061</v>
      </c>
      <c r="AF35" s="7">
        <f>'1-CBA'!AF34*(1+$C$3)</f>
        <v>22963254.302046061</v>
      </c>
      <c r="AG35" s="7">
        <f>'1-CBA'!AG34*(1+$C$3)</f>
        <v>22963254.302046061</v>
      </c>
      <c r="AH35" s="7">
        <f>'1-CBA'!AH34*(1+$C$3)</f>
        <v>22963254.302046061</v>
      </c>
      <c r="AI35" s="7">
        <f>'1-CBA'!AI34*(1+$C$3)</f>
        <v>22963254.302046061</v>
      </c>
      <c r="AJ35" s="7">
        <f>'1-CBA'!AJ34*(1+$C$3)</f>
        <v>22963254.302046061</v>
      </c>
      <c r="AK35" s="7">
        <f>'1-CBA'!AK34*(1+$C$3)</f>
        <v>22963254.302046061</v>
      </c>
      <c r="AL35" s="7">
        <f>'1-CBA'!AL34*(1+$C$3)</f>
        <v>22963254.302046061</v>
      </c>
      <c r="AM35" s="7">
        <f>'1-CBA'!AM34*(1+$C$3)</f>
        <v>22963254.302046061</v>
      </c>
      <c r="AN35" s="7">
        <f>'1-CBA'!AN34*(1+$C$3)</f>
        <v>22963254.302046061</v>
      </c>
      <c r="AO35" s="7">
        <f>'1-CBA'!AO34*(1+$C$3)</f>
        <v>22963254.302046061</v>
      </c>
      <c r="AP35" s="7">
        <f>'1-CBA'!AP34*(1+$C$3)</f>
        <v>22963254.302046061</v>
      </c>
      <c r="AQ35" s="7">
        <f>'1-CBA'!AQ34*(1+$C$3)</f>
        <v>22963254.302046061</v>
      </c>
      <c r="AR35" s="7">
        <f>'1-CBA'!AR34*(1+$C$3)</f>
        <v>22963254.302046061</v>
      </c>
      <c r="AS35" s="7">
        <f>'1-CBA'!AS34*(1+$C$3)</f>
        <v>22963254.302046061</v>
      </c>
      <c r="AT35" s="7">
        <f>'1-CBA'!AT34*(1+$C$3)</f>
        <v>22963254.302046061</v>
      </c>
      <c r="AU35" s="7">
        <f>'1-CBA'!AU34*(1+$C$3)</f>
        <v>22963254.302046061</v>
      </c>
      <c r="AV35" s="7">
        <f>'1-CBA'!AV34*(1+$C$3)</f>
        <v>22963254.302046061</v>
      </c>
      <c r="AW35" s="7">
        <f>'1-CBA'!AW34*(1+$C$3)</f>
        <v>22963254.302046061</v>
      </c>
      <c r="AX35" s="7">
        <f>'1-CBA'!AX34*(1+$C$3)</f>
        <v>22963254.302046061</v>
      </c>
      <c r="AY35" s="7">
        <f>'1-CBA'!AY34*(1+$C$3)</f>
        <v>22963254.302046061</v>
      </c>
      <c r="AZ35" s="7">
        <f>'1-CBA'!AZ34*(1+$C$3)</f>
        <v>22963254.302046061</v>
      </c>
      <c r="BA35" s="7">
        <f>'1-CBA'!BA34*(1+$C$3)</f>
        <v>22963254.302046061</v>
      </c>
    </row>
    <row r="36" spans="2:53">
      <c r="B36" s="157" t="s">
        <v>52</v>
      </c>
      <c r="C36" s="158">
        <f t="shared" ref="C36:H36" si="4">SUM(C27:C35)</f>
        <v>0</v>
      </c>
      <c r="D36" s="90">
        <f t="shared" si="4"/>
        <v>0</v>
      </c>
      <c r="E36" s="91">
        <f t="shared" si="4"/>
        <v>0</v>
      </c>
      <c r="F36" s="91">
        <f t="shared" si="4"/>
        <v>0</v>
      </c>
      <c r="G36" s="91">
        <f t="shared" si="4"/>
        <v>0</v>
      </c>
      <c r="H36" s="91">
        <f t="shared" si="4"/>
        <v>0</v>
      </c>
      <c r="I36" s="91">
        <f>SUM(I27:I35)</f>
        <v>43950653.263861328</v>
      </c>
      <c r="J36" s="91">
        <f t="shared" ref="J36:BA36" si="5">SUM(J27:J35)</f>
        <v>43950653.263861328</v>
      </c>
      <c r="K36" s="91">
        <f t="shared" si="5"/>
        <v>43950653.263861328</v>
      </c>
      <c r="L36" s="91">
        <f t="shared" si="5"/>
        <v>43950653.263861328</v>
      </c>
      <c r="M36" s="91">
        <f t="shared" si="5"/>
        <v>43950653.263861328</v>
      </c>
      <c r="N36" s="91">
        <f t="shared" si="5"/>
        <v>73862866.699222654</v>
      </c>
      <c r="O36" s="91">
        <f t="shared" si="5"/>
        <v>73862866.699222654</v>
      </c>
      <c r="P36" s="91">
        <f t="shared" si="5"/>
        <v>73862866.699222654</v>
      </c>
      <c r="Q36" s="91">
        <f t="shared" si="5"/>
        <v>73862866.699222654</v>
      </c>
      <c r="R36" s="91">
        <f t="shared" si="5"/>
        <v>73862866.699222654</v>
      </c>
      <c r="S36" s="91">
        <f t="shared" si="5"/>
        <v>73862866.699222654</v>
      </c>
      <c r="T36" s="91">
        <f t="shared" si="5"/>
        <v>73862866.699222654</v>
      </c>
      <c r="U36" s="91">
        <f t="shared" si="5"/>
        <v>73862866.699222654</v>
      </c>
      <c r="V36" s="91">
        <f t="shared" si="5"/>
        <v>73862866.699222654</v>
      </c>
      <c r="W36" s="91">
        <f t="shared" si="5"/>
        <v>73862866.699222654</v>
      </c>
      <c r="X36" s="91">
        <f t="shared" si="5"/>
        <v>103775080.13458396</v>
      </c>
      <c r="Y36" s="91">
        <f t="shared" si="5"/>
        <v>103775080.13458396</v>
      </c>
      <c r="Z36" s="91">
        <f t="shared" si="5"/>
        <v>103775080.13458396</v>
      </c>
      <c r="AA36" s="91">
        <f t="shared" si="5"/>
        <v>103775080.13458396</v>
      </c>
      <c r="AB36" s="91">
        <f t="shared" si="5"/>
        <v>103775080.13458396</v>
      </c>
      <c r="AC36" s="91">
        <f t="shared" si="5"/>
        <v>103775080.13458396</v>
      </c>
      <c r="AD36" s="91">
        <f t="shared" si="5"/>
        <v>103775080.13458396</v>
      </c>
      <c r="AE36" s="91">
        <f t="shared" si="5"/>
        <v>103775080.13458396</v>
      </c>
      <c r="AF36" s="91">
        <f t="shared" si="5"/>
        <v>103775080.13458396</v>
      </c>
      <c r="AG36" s="91">
        <f t="shared" si="5"/>
        <v>103775080.13458396</v>
      </c>
      <c r="AH36" s="91">
        <f t="shared" si="5"/>
        <v>103775080.13458396</v>
      </c>
      <c r="AI36" s="91">
        <f t="shared" si="5"/>
        <v>103775080.13458396</v>
      </c>
      <c r="AJ36" s="91">
        <f t="shared" si="5"/>
        <v>103775080.13458396</v>
      </c>
      <c r="AK36" s="91">
        <f t="shared" si="5"/>
        <v>103775080.13458396</v>
      </c>
      <c r="AL36" s="91">
        <f t="shared" si="5"/>
        <v>103775080.13458396</v>
      </c>
      <c r="AM36" s="91">
        <f t="shared" si="5"/>
        <v>103775080.13458396</v>
      </c>
      <c r="AN36" s="91">
        <f t="shared" si="5"/>
        <v>103775080.13458396</v>
      </c>
      <c r="AO36" s="91">
        <f t="shared" si="5"/>
        <v>103775080.13458396</v>
      </c>
      <c r="AP36" s="91">
        <f t="shared" si="5"/>
        <v>103775080.13458396</v>
      </c>
      <c r="AQ36" s="91">
        <f t="shared" si="5"/>
        <v>103775080.13458396</v>
      </c>
      <c r="AR36" s="91">
        <f t="shared" si="5"/>
        <v>103775080.13458396</v>
      </c>
      <c r="AS36" s="91">
        <f t="shared" si="5"/>
        <v>103775080.13458396</v>
      </c>
      <c r="AT36" s="91">
        <f t="shared" si="5"/>
        <v>103775080.13458396</v>
      </c>
      <c r="AU36" s="91">
        <f t="shared" si="5"/>
        <v>103775080.13458396</v>
      </c>
      <c r="AV36" s="91">
        <f t="shared" si="5"/>
        <v>103775080.13458396</v>
      </c>
      <c r="AW36" s="91">
        <f t="shared" si="5"/>
        <v>103775080.13458396</v>
      </c>
      <c r="AX36" s="91">
        <f t="shared" si="5"/>
        <v>103775080.13458396</v>
      </c>
      <c r="AY36" s="91">
        <f t="shared" si="5"/>
        <v>103775080.13458396</v>
      </c>
      <c r="AZ36" s="91">
        <f t="shared" si="5"/>
        <v>103775080.13458396</v>
      </c>
      <c r="BA36" s="91">
        <f t="shared" si="5"/>
        <v>103775080.13458396</v>
      </c>
    </row>
    <row r="37" spans="2:53" ht="15" thickBot="1">
      <c r="B37" s="152" t="s">
        <v>94</v>
      </c>
      <c r="C37" s="159">
        <f>NPV(5%,D36:BA36)</f>
        <v>1100480320.6994581</v>
      </c>
    </row>
    <row r="38" spans="2:53">
      <c r="B38" s="309" t="s">
        <v>70</v>
      </c>
      <c r="C38" s="310"/>
      <c r="D38" s="42">
        <f t="shared" ref="D38:AI38" si="6">D36-D21</f>
        <v>-13776500</v>
      </c>
      <c r="E38" s="42">
        <f t="shared" si="6"/>
        <v>-37810500</v>
      </c>
      <c r="F38" s="42">
        <f t="shared" si="6"/>
        <v>-14373500</v>
      </c>
      <c r="G38" s="42">
        <f t="shared" si="6"/>
        <v>-7086000</v>
      </c>
      <c r="H38" s="42">
        <f t="shared" si="6"/>
        <v>-5014000</v>
      </c>
      <c r="I38" s="42">
        <f t="shared" si="6"/>
        <v>42421653.263861328</v>
      </c>
      <c r="J38" s="42">
        <f t="shared" si="6"/>
        <v>42225589.53524413</v>
      </c>
      <c r="K38" s="42">
        <f t="shared" si="6"/>
        <v>42018862.806125931</v>
      </c>
      <c r="L38" s="42">
        <f t="shared" si="6"/>
        <v>42375323.034861326</v>
      </c>
      <c r="M38" s="42">
        <f t="shared" si="6"/>
        <v>42359569.732571326</v>
      </c>
      <c r="N38" s="42">
        <f t="shared" si="6"/>
        <v>72255872.332619756</v>
      </c>
      <c r="O38" s="42">
        <f t="shared" si="6"/>
        <v>72049807.383382991</v>
      </c>
      <c r="P38" s="42">
        <f t="shared" si="6"/>
        <v>66760663.024629921</v>
      </c>
      <c r="Q38" s="42">
        <f t="shared" si="6"/>
        <v>59386382.097732171</v>
      </c>
      <c r="R38" s="42">
        <f t="shared" si="6"/>
        <v>69308110.481027722</v>
      </c>
      <c r="S38" s="42">
        <f t="shared" si="6"/>
        <v>71842512.831845567</v>
      </c>
      <c r="T38" s="42">
        <f t="shared" si="6"/>
        <v>71625936.49922438</v>
      </c>
      <c r="U38" s="42">
        <f t="shared" si="6"/>
        <v>71025421.030995667</v>
      </c>
      <c r="V38" s="42">
        <f t="shared" si="6"/>
        <v>71365770.314538911</v>
      </c>
      <c r="W38" s="42">
        <f t="shared" si="6"/>
        <v>72105320.627182335</v>
      </c>
      <c r="X38" s="42">
        <f t="shared" si="6"/>
        <v>101800271.94149959</v>
      </c>
      <c r="Y38" s="42">
        <f t="shared" si="6"/>
        <v>101772334.69962458</v>
      </c>
      <c r="Z38" s="42">
        <f t="shared" si="6"/>
        <v>89396321.247550681</v>
      </c>
      <c r="AA38" s="42">
        <f t="shared" si="6"/>
        <v>101736297.957388</v>
      </c>
      <c r="AB38" s="42">
        <f t="shared" si="6"/>
        <v>95951215.664061517</v>
      </c>
      <c r="AC38" s="42">
        <f t="shared" si="6"/>
        <v>87805057.822115824</v>
      </c>
      <c r="AD38" s="42">
        <f t="shared" si="6"/>
        <v>98918035.919547111</v>
      </c>
      <c r="AE38" s="42">
        <f t="shared" si="6"/>
        <v>101295979.88616937</v>
      </c>
      <c r="AF38" s="42">
        <f t="shared" si="6"/>
        <v>101266242.56440187</v>
      </c>
      <c r="AG38" s="42">
        <f t="shared" si="6"/>
        <v>101833655.85697867</v>
      </c>
      <c r="AH38" s="42">
        <f t="shared" si="6"/>
        <v>101593663.31105965</v>
      </c>
      <c r="AI38" s="42">
        <f t="shared" si="6"/>
        <v>101562803.21556154</v>
      </c>
      <c r="AJ38" s="42">
        <f t="shared" ref="AJ38:BA38" si="7">AJ36-AJ21</f>
        <v>101554250.45679998</v>
      </c>
      <c r="AK38" s="42">
        <f t="shared" si="7"/>
        <v>100397320.73363253</v>
      </c>
      <c r="AL38" s="42">
        <f t="shared" si="7"/>
        <v>100951207.65460633</v>
      </c>
      <c r="AM38" s="42">
        <f t="shared" si="7"/>
        <v>100915748.02719018</v>
      </c>
      <c r="AN38" s="42">
        <f t="shared" si="7"/>
        <v>92187320.754445091</v>
      </c>
      <c r="AO38" s="42">
        <f t="shared" si="7"/>
        <v>86150600.796259388</v>
      </c>
      <c r="AP38" s="42">
        <f t="shared" si="7"/>
        <v>98368044.091564432</v>
      </c>
      <c r="AQ38" s="42">
        <f t="shared" si="7"/>
        <v>100994355.23469356</v>
      </c>
      <c r="AR38" s="42">
        <f t="shared" si="7"/>
        <v>100961084.17197491</v>
      </c>
      <c r="AS38" s="42">
        <f t="shared" si="7"/>
        <v>101331350.10229526</v>
      </c>
      <c r="AT38" s="42">
        <f t="shared" si="7"/>
        <v>88753945.124269888</v>
      </c>
      <c r="AU38" s="42">
        <f t="shared" si="7"/>
        <v>101287378.42834602</v>
      </c>
      <c r="AV38" s="42">
        <f t="shared" si="7"/>
        <v>101277491.14504521</v>
      </c>
      <c r="AW38" s="42">
        <f t="shared" si="7"/>
        <v>101242522.9237504</v>
      </c>
      <c r="AX38" s="42">
        <f t="shared" si="7"/>
        <v>101206695.31091735</v>
      </c>
      <c r="AY38" s="42">
        <f t="shared" si="7"/>
        <v>101196765.82351241</v>
      </c>
      <c r="AZ38" s="42">
        <f t="shared" si="7"/>
        <v>93989425.849304929</v>
      </c>
      <c r="BA38" s="42">
        <f t="shared" si="7"/>
        <v>83010923.139626831</v>
      </c>
    </row>
    <row r="39" spans="2:53" ht="15" thickBot="1">
      <c r="D39" s="7">
        <v>-13776500</v>
      </c>
      <c r="E39" s="7">
        <v>-37810500</v>
      </c>
      <c r="F39" s="7">
        <v>-14373500</v>
      </c>
      <c r="G39" s="7">
        <v>-7086000</v>
      </c>
      <c r="H39" s="7">
        <v>-5014000</v>
      </c>
      <c r="I39" s="7">
        <v>71253866.699222654</v>
      </c>
      <c r="J39" s="7">
        <v>71253866.699222654</v>
      </c>
      <c r="K39" s="7">
        <v>71253866.699222654</v>
      </c>
      <c r="L39" s="7">
        <v>71253866.699222654</v>
      </c>
      <c r="M39" s="7">
        <v>71253866.699222654</v>
      </c>
      <c r="N39" s="7">
        <v>71253866.699222654</v>
      </c>
      <c r="O39" s="7">
        <v>71253866.699222654</v>
      </c>
      <c r="P39" s="7">
        <v>71253866.699222654</v>
      </c>
      <c r="Q39" s="7">
        <v>71253866.699222654</v>
      </c>
      <c r="R39" s="7">
        <v>71253866.699222654</v>
      </c>
      <c r="S39" s="7">
        <v>71253866.699222654</v>
      </c>
      <c r="T39" s="7">
        <v>71253866.699222654</v>
      </c>
      <c r="U39" s="7">
        <v>71253866.699222654</v>
      </c>
      <c r="V39" s="7">
        <v>71253866.699222654</v>
      </c>
      <c r="W39" s="7">
        <v>71253866.699222654</v>
      </c>
      <c r="X39" s="7">
        <v>71253866.699222654</v>
      </c>
      <c r="Y39" s="7">
        <v>71253866.699222654</v>
      </c>
      <c r="Z39" s="7">
        <v>71253866.699222654</v>
      </c>
      <c r="AA39" s="7">
        <v>71253866.699222654</v>
      </c>
      <c r="AB39" s="7">
        <v>71253866.699222654</v>
      </c>
      <c r="AC39" s="7">
        <v>71253866.699222654</v>
      </c>
      <c r="AD39" s="7">
        <v>71253866.699222654</v>
      </c>
      <c r="AE39" s="7">
        <v>71253866.699222654</v>
      </c>
      <c r="AF39" s="7">
        <v>71253866.699222654</v>
      </c>
      <c r="AG39" s="7">
        <v>71253866.699222654</v>
      </c>
      <c r="AH39" s="7">
        <v>71253866.699222654</v>
      </c>
      <c r="AI39" s="7">
        <v>71253866.699222654</v>
      </c>
      <c r="AJ39" s="7">
        <v>71253866.699222654</v>
      </c>
      <c r="AK39" s="7">
        <v>71253866.699222654</v>
      </c>
      <c r="AL39" s="7">
        <v>71253866.699222654</v>
      </c>
      <c r="AM39" s="7">
        <v>71253866.699222654</v>
      </c>
      <c r="AN39" s="7">
        <v>71253866.699222654</v>
      </c>
      <c r="AO39" s="7">
        <v>71253866.699222654</v>
      </c>
      <c r="AP39" s="7">
        <v>71253866.699222654</v>
      </c>
      <c r="AQ39" s="7">
        <v>71253866.699222654</v>
      </c>
      <c r="AR39" s="7">
        <v>71253866.699222654</v>
      </c>
      <c r="AS39" s="7">
        <v>71253866.699222654</v>
      </c>
      <c r="AT39" s="7">
        <v>71253866.699222654</v>
      </c>
      <c r="AU39" s="7">
        <v>71253866.699222654</v>
      </c>
      <c r="AV39" s="7">
        <v>71253866.699222654</v>
      </c>
      <c r="AW39" s="7">
        <v>71253866.699222654</v>
      </c>
      <c r="AX39" s="7">
        <v>71253866.699222654</v>
      </c>
      <c r="AY39" s="7">
        <v>71253866.699222654</v>
      </c>
      <c r="AZ39" s="7">
        <v>71253866.699222654</v>
      </c>
      <c r="BA39" s="7">
        <v>71253866.699222654</v>
      </c>
    </row>
    <row r="40" spans="2:53" ht="29">
      <c r="B40" s="160" t="s">
        <v>18</v>
      </c>
      <c r="C40" s="161" t="s">
        <v>29</v>
      </c>
      <c r="D40" s="161" t="s">
        <v>30</v>
      </c>
      <c r="E40" s="161" t="s">
        <v>27</v>
      </c>
      <c r="F40" s="161" t="s">
        <v>68</v>
      </c>
      <c r="G40" s="162" t="s">
        <v>31</v>
      </c>
    </row>
    <row r="41" spans="2:53">
      <c r="B41" s="169">
        <v>0.05</v>
      </c>
      <c r="C41" s="163">
        <f>NPV(B41,$D$21:$BA$21)</f>
        <v>127201290.05537271</v>
      </c>
      <c r="D41" s="163">
        <f>NPV(B41,$D$36:$BA$36)</f>
        <v>1100480320.6994581</v>
      </c>
      <c r="E41" s="193">
        <f>D41/C41</f>
        <v>8.6514871053619178</v>
      </c>
      <c r="F41" s="163">
        <f>(D41-C41)/1000000</f>
        <v>973.27903064408542</v>
      </c>
      <c r="G41" s="184">
        <f>IRR($D$38:$BA$38)</f>
        <v>0.30627745010966212</v>
      </c>
    </row>
    <row r="42" spans="2:53">
      <c r="B42" s="169">
        <v>0.08</v>
      </c>
      <c r="C42" s="163">
        <f>NPV(B42,$D$21:$BA$21)</f>
        <v>96176306.740811661</v>
      </c>
      <c r="D42" s="163">
        <f t="shared" ref="D42:D45" si="8">NPV(B42,$D$36:$BA$36)</f>
        <v>599652726.97080433</v>
      </c>
      <c r="E42" s="193">
        <f t="shared" ref="E42:E45" si="9">D42/C42</f>
        <v>6.2349319420928273</v>
      </c>
      <c r="F42" s="163">
        <f t="shared" ref="F42:F45" si="10">(D42-C42)/1000000</f>
        <v>503.4764202299927</v>
      </c>
      <c r="G42" s="184"/>
    </row>
    <row r="43" spans="2:53">
      <c r="B43" s="169">
        <v>0.1</v>
      </c>
      <c r="C43" s="163">
        <f t="shared" ref="C43:C45" si="11">NPV(B43,$D$21:$BA$21)</f>
        <v>84240229.723357707</v>
      </c>
      <c r="D43" s="163">
        <f t="shared" si="8"/>
        <v>423845975.21502239</v>
      </c>
      <c r="E43" s="193">
        <f t="shared" si="9"/>
        <v>5.0313962415216507</v>
      </c>
      <c r="F43" s="163">
        <f t="shared" si="10"/>
        <v>339.60574549166466</v>
      </c>
      <c r="G43" s="184"/>
    </row>
    <row r="44" spans="2:53">
      <c r="B44" s="169">
        <v>0.15</v>
      </c>
      <c r="C44" s="163">
        <f>NPV(B44,$D$21:$BA$21)</f>
        <v>66901653.740323409</v>
      </c>
      <c r="D44" s="163">
        <f t="shared" si="8"/>
        <v>206513098.96457633</v>
      </c>
      <c r="E44" s="193">
        <f t="shared" si="9"/>
        <v>3.0868160563885341</v>
      </c>
      <c r="F44" s="163">
        <f t="shared" si="10"/>
        <v>139.61144522425295</v>
      </c>
      <c r="G44" s="184"/>
    </row>
    <row r="45" spans="2:53" ht="15" thickBot="1">
      <c r="B45" s="170">
        <v>0.2</v>
      </c>
      <c r="C45" s="164">
        <f t="shared" si="11"/>
        <v>57142576.550006568</v>
      </c>
      <c r="D45" s="164">
        <f t="shared" si="8"/>
        <v>116312998.76209094</v>
      </c>
      <c r="E45" s="194">
        <f t="shared" si="9"/>
        <v>2.0354874733431592</v>
      </c>
      <c r="F45" s="164">
        <f t="shared" si="10"/>
        <v>59.170422212084368</v>
      </c>
      <c r="G45" s="185"/>
    </row>
    <row r="46" spans="2:53" ht="15" thickBot="1"/>
    <row r="47" spans="2:53" ht="29.5" thickBot="1">
      <c r="B47" s="160" t="s">
        <v>90</v>
      </c>
      <c r="C47" s="161" t="s">
        <v>89</v>
      </c>
      <c r="D47" s="306" t="s">
        <v>88</v>
      </c>
      <c r="E47" s="307"/>
      <c r="F47" s="307"/>
      <c r="G47" s="308"/>
    </row>
    <row r="48" spans="2:53">
      <c r="B48" s="51"/>
      <c r="C48" s="52"/>
      <c r="D48" s="13">
        <v>-0.3</v>
      </c>
      <c r="E48" s="13">
        <v>-0.15</v>
      </c>
      <c r="F48" s="13">
        <v>0.15</v>
      </c>
      <c r="G48" s="14">
        <v>0.3</v>
      </c>
    </row>
    <row r="49" spans="2:7">
      <c r="B49" s="169">
        <v>0.05</v>
      </c>
      <c r="C49" s="165">
        <f>NPV(B49,$D$38:$BA$38)/1000000</f>
        <v>973.27903064408576</v>
      </c>
      <c r="D49" s="165">
        <v>643.13493443424818</v>
      </c>
      <c r="E49" s="165">
        <v>808.2069825391668</v>
      </c>
      <c r="F49" s="165">
        <v>1138.3510787490043</v>
      </c>
      <c r="G49" s="166">
        <v>1303.423126853924</v>
      </c>
    </row>
    <row r="50" spans="2:7">
      <c r="B50" s="169">
        <v>0.08</v>
      </c>
      <c r="C50" s="165">
        <f>NPV(B50,$D$38:$BA$38)/1000000</f>
        <v>503.47642022999293</v>
      </c>
      <c r="D50" s="165">
        <v>323.58060213875137</v>
      </c>
      <c r="E50" s="165">
        <v>413.52851118437195</v>
      </c>
      <c r="F50" s="165">
        <v>593.42432927561333</v>
      </c>
      <c r="G50" s="166">
        <v>683.37223832123436</v>
      </c>
    </row>
    <row r="51" spans="2:7">
      <c r="B51" s="169">
        <v>0.1</v>
      </c>
      <c r="C51" s="165">
        <f>NPV(B51,$D$38:$BA$38)/1000000</f>
        <v>339.60574549166461</v>
      </c>
      <c r="D51" s="165">
        <v>212.45195292715789</v>
      </c>
      <c r="E51" s="165">
        <v>276.02884920941119</v>
      </c>
      <c r="F51" s="165">
        <v>403.18264177391774</v>
      </c>
      <c r="G51" s="166">
        <v>466.75953805617132</v>
      </c>
    </row>
    <row r="52" spans="2:7">
      <c r="B52" s="169">
        <v>0.15</v>
      </c>
      <c r="C52" s="165">
        <f>NPV(B52,$D$38:$BA$38)/1000000</f>
        <v>139.61144522425303</v>
      </c>
      <c r="D52" s="165">
        <v>77.657515534880048</v>
      </c>
      <c r="E52" s="165">
        <v>108.63448037956657</v>
      </c>
      <c r="F52" s="165">
        <v>170.5884100689394</v>
      </c>
      <c r="G52" s="166">
        <v>201.56537491362602</v>
      </c>
    </row>
    <row r="53" spans="2:7" ht="15" thickBot="1">
      <c r="B53" s="170">
        <v>0.2</v>
      </c>
      <c r="C53" s="167">
        <f>NPV(B53,$D$38:$BA$38)/1000000</f>
        <v>59.170422212084361</v>
      </c>
      <c r="D53" s="167">
        <v>24.276522583457069</v>
      </c>
      <c r="E53" s="167">
        <v>41.723472397770692</v>
      </c>
      <c r="F53" s="167">
        <v>76.617372026397987</v>
      </c>
      <c r="G53" s="168">
        <v>94.064321840711671</v>
      </c>
    </row>
  </sheetData>
  <mergeCells count="2">
    <mergeCell ref="D47:G47"/>
    <mergeCell ref="B38:C3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4CDE-F422-4718-B66A-FE5B74777E17}">
  <dimension ref="B3:E36"/>
  <sheetViews>
    <sheetView workbookViewId="0">
      <selection activeCell="G42" sqref="A1:G42"/>
    </sheetView>
  </sheetViews>
  <sheetFormatPr defaultColWidth="10.90625" defaultRowHeight="14.5"/>
  <cols>
    <col min="2" max="2" width="45.54296875" customWidth="1"/>
  </cols>
  <sheetData>
    <row r="3" spans="2:5">
      <c r="B3" s="197" t="s">
        <v>97</v>
      </c>
    </row>
    <row r="4" spans="2:5">
      <c r="B4" s="197" t="s">
        <v>98</v>
      </c>
    </row>
    <row r="5" spans="2:5">
      <c r="B5" s="197" t="s">
        <v>99</v>
      </c>
    </row>
    <row r="6" spans="2:5">
      <c r="B6" s="197" t="s">
        <v>100</v>
      </c>
    </row>
    <row r="9" spans="2:5" ht="15" thickBot="1">
      <c r="B9" s="197"/>
    </row>
    <row r="10" spans="2:5" ht="15" thickBot="1">
      <c r="B10" s="35" t="s">
        <v>104</v>
      </c>
      <c r="C10" s="205" t="s">
        <v>86</v>
      </c>
      <c r="D10" s="205" t="s">
        <v>101</v>
      </c>
      <c r="E10" s="206" t="s">
        <v>102</v>
      </c>
    </row>
    <row r="11" spans="2:5">
      <c r="B11" s="77"/>
      <c r="C11" s="203" t="s">
        <v>103</v>
      </c>
      <c r="D11" s="203" t="s">
        <v>103</v>
      </c>
      <c r="E11" s="204" t="s">
        <v>103</v>
      </c>
    </row>
    <row r="12" spans="2:5">
      <c r="B12" s="83" t="s">
        <v>9</v>
      </c>
      <c r="C12" s="198">
        <v>1</v>
      </c>
      <c r="D12" s="198">
        <f>0.75*C12</f>
        <v>0.75</v>
      </c>
      <c r="E12" s="199">
        <f>C12-D12</f>
        <v>0.25</v>
      </c>
    </row>
    <row r="13" spans="2:5">
      <c r="B13" s="83" t="s">
        <v>25</v>
      </c>
      <c r="C13" s="198">
        <v>0.4</v>
      </c>
      <c r="D13" s="198">
        <f>0.75*C13</f>
        <v>0.30000000000000004</v>
      </c>
      <c r="E13" s="199">
        <f t="shared" ref="E13:E15" si="0">C13-D13</f>
        <v>9.9999999999999978E-2</v>
      </c>
    </row>
    <row r="14" spans="2:5">
      <c r="B14" s="83" t="s">
        <v>11</v>
      </c>
      <c r="C14" s="198">
        <v>1</v>
      </c>
      <c r="D14" s="198">
        <f>0.5*C14</f>
        <v>0.5</v>
      </c>
      <c r="E14" s="199">
        <f t="shared" si="0"/>
        <v>0.5</v>
      </c>
    </row>
    <row r="15" spans="2:5">
      <c r="B15" s="83" t="s">
        <v>3</v>
      </c>
      <c r="C15" s="198">
        <v>3.5</v>
      </c>
      <c r="D15" s="198">
        <f>0.4*C15</f>
        <v>1.4000000000000001</v>
      </c>
      <c r="E15" s="199">
        <f t="shared" si="0"/>
        <v>2.0999999999999996</v>
      </c>
    </row>
    <row r="16" spans="2:5" ht="15" thickBot="1">
      <c r="B16" s="200" t="s">
        <v>86</v>
      </c>
      <c r="C16" s="201">
        <f>SUM(C12:C15)</f>
        <v>5.9</v>
      </c>
      <c r="D16" s="201">
        <f t="shared" ref="D16:E16" si="1">SUM(D12:D15)</f>
        <v>2.95</v>
      </c>
      <c r="E16" s="202">
        <f t="shared" si="1"/>
        <v>2.9499999999999997</v>
      </c>
    </row>
    <row r="17" spans="2:5" ht="15" thickBot="1"/>
    <row r="18" spans="2:5" ht="15" thickBot="1">
      <c r="B18" s="35" t="s">
        <v>105</v>
      </c>
      <c r="C18" s="205" t="s">
        <v>86</v>
      </c>
      <c r="D18" s="205" t="s">
        <v>101</v>
      </c>
      <c r="E18" s="206" t="s">
        <v>102</v>
      </c>
    </row>
    <row r="19" spans="2:5">
      <c r="B19" s="77"/>
      <c r="C19" s="203" t="s">
        <v>103</v>
      </c>
      <c r="D19" s="203" t="s">
        <v>103</v>
      </c>
      <c r="E19" s="204" t="s">
        <v>103</v>
      </c>
    </row>
    <row r="20" spans="2:5">
      <c r="B20" s="83" t="s">
        <v>9</v>
      </c>
      <c r="C20" s="198">
        <f>0.25*$C$24</f>
        <v>0.65</v>
      </c>
      <c r="D20" s="207">
        <f>0.25*$D$24</f>
        <v>0.25</v>
      </c>
      <c r="E20" s="199">
        <f>0.25*$E$24</f>
        <v>0.4</v>
      </c>
    </row>
    <row r="21" spans="2:5">
      <c r="B21" s="83" t="s">
        <v>25</v>
      </c>
      <c r="C21" s="198">
        <f t="shared" ref="C21:C23" si="2">0.25*$C$24</f>
        <v>0.65</v>
      </c>
      <c r="D21" s="198">
        <f t="shared" ref="D21:D23" si="3">0.25*$D$24</f>
        <v>0.25</v>
      </c>
      <c r="E21" s="199">
        <f t="shared" ref="E21:E23" si="4">0.25*$E$24</f>
        <v>0.4</v>
      </c>
    </row>
    <row r="22" spans="2:5">
      <c r="B22" s="83" t="s">
        <v>11</v>
      </c>
      <c r="C22" s="198">
        <f t="shared" si="2"/>
        <v>0.65</v>
      </c>
      <c r="D22" s="198">
        <f t="shared" si="3"/>
        <v>0.25</v>
      </c>
      <c r="E22" s="199">
        <f t="shared" si="4"/>
        <v>0.4</v>
      </c>
    </row>
    <row r="23" spans="2:5">
      <c r="B23" s="83" t="s">
        <v>3</v>
      </c>
      <c r="C23" s="198">
        <f t="shared" si="2"/>
        <v>0.65</v>
      </c>
      <c r="D23" s="198">
        <f t="shared" si="3"/>
        <v>0.25</v>
      </c>
      <c r="E23" s="199">
        <f t="shared" si="4"/>
        <v>0.4</v>
      </c>
    </row>
    <row r="24" spans="2:5" ht="15" thickBot="1">
      <c r="B24" s="200" t="s">
        <v>86</v>
      </c>
      <c r="C24" s="201">
        <v>2.6</v>
      </c>
      <c r="D24" s="201">
        <v>1</v>
      </c>
      <c r="E24" s="202">
        <v>1.6</v>
      </c>
    </row>
    <row r="25" spans="2:5">
      <c r="B25" s="208" t="s">
        <v>107</v>
      </c>
    </row>
    <row r="26" spans="2:5" ht="15" thickBot="1"/>
    <row r="27" spans="2:5" ht="15" thickBot="1">
      <c r="B27" s="35" t="s">
        <v>106</v>
      </c>
      <c r="C27" s="205" t="s">
        <v>86</v>
      </c>
      <c r="D27" s="205" t="s">
        <v>101</v>
      </c>
      <c r="E27" s="206" t="s">
        <v>102</v>
      </c>
    </row>
    <row r="28" spans="2:5">
      <c r="B28" s="77"/>
      <c r="C28" s="203" t="s">
        <v>103</v>
      </c>
      <c r="D28" s="203" t="s">
        <v>103</v>
      </c>
      <c r="E28" s="204" t="s">
        <v>103</v>
      </c>
    </row>
    <row r="29" spans="2:5">
      <c r="B29" s="83" t="s">
        <v>9</v>
      </c>
      <c r="C29" s="207">
        <f>D29+E29</f>
        <v>1.25</v>
      </c>
      <c r="D29" s="207">
        <f>D12+D20</f>
        <v>1</v>
      </c>
      <c r="E29" s="199">
        <f>E12</f>
        <v>0.25</v>
      </c>
    </row>
    <row r="30" spans="2:5">
      <c r="B30" s="83" t="s">
        <v>25</v>
      </c>
      <c r="C30" s="207">
        <f t="shared" ref="C30:C32" si="5">D30+E30</f>
        <v>0.65</v>
      </c>
      <c r="D30" s="207">
        <f t="shared" ref="D30:D32" si="6">D13+D21</f>
        <v>0.55000000000000004</v>
      </c>
      <c r="E30" s="199">
        <f t="shared" ref="E30:E32" si="7">E13</f>
        <v>9.9999999999999978E-2</v>
      </c>
    </row>
    <row r="31" spans="2:5">
      <c r="B31" s="83" t="s">
        <v>11</v>
      </c>
      <c r="C31" s="207">
        <f t="shared" si="5"/>
        <v>1.25</v>
      </c>
      <c r="D31" s="207">
        <f t="shared" si="6"/>
        <v>0.75</v>
      </c>
      <c r="E31" s="199">
        <f t="shared" si="7"/>
        <v>0.5</v>
      </c>
    </row>
    <row r="32" spans="2:5">
      <c r="B32" s="83" t="s">
        <v>3</v>
      </c>
      <c r="C32" s="207">
        <f t="shared" si="5"/>
        <v>3.75</v>
      </c>
      <c r="D32" s="207">
        <f t="shared" si="6"/>
        <v>1.6500000000000001</v>
      </c>
      <c r="E32" s="199">
        <f t="shared" si="7"/>
        <v>2.0999999999999996</v>
      </c>
    </row>
    <row r="33" spans="2:5" ht="15" thickBot="1">
      <c r="B33" s="200" t="s">
        <v>86</v>
      </c>
      <c r="C33" s="209">
        <f>SUM(C29:C32)</f>
        <v>6.9</v>
      </c>
      <c r="D33" s="201">
        <f t="shared" ref="D33:E33" si="8">SUM(D29:D32)</f>
        <v>3.95</v>
      </c>
      <c r="E33" s="202">
        <f t="shared" si="8"/>
        <v>2.9499999999999997</v>
      </c>
    </row>
    <row r="34" spans="2:5">
      <c r="B34" s="210" t="s">
        <v>108</v>
      </c>
      <c r="C34" s="198"/>
      <c r="D34" s="198"/>
      <c r="E34" s="198"/>
    </row>
    <row r="35" spans="2:5">
      <c r="B35" s="211" t="s">
        <v>109</v>
      </c>
      <c r="C35" s="198"/>
      <c r="D35" s="198"/>
      <c r="E35" s="198"/>
    </row>
    <row r="36" spans="2:5">
      <c r="B36" s="211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0E66-A5D6-494A-AE75-1E84B5AB71DB}">
  <dimension ref="B1:BL137"/>
  <sheetViews>
    <sheetView zoomScale="85" zoomScaleNormal="85" workbookViewId="0">
      <pane xSplit="19" ySplit="5" topLeftCell="BF6" activePane="bottomRight" state="frozen"/>
      <selection pane="topRight" activeCell="T1" sqref="T1"/>
      <selection pane="bottomLeft" activeCell="A6" sqref="A6"/>
      <selection pane="bottomRight" activeCell="H1" sqref="H1"/>
    </sheetView>
  </sheetViews>
  <sheetFormatPr defaultColWidth="10.90625" defaultRowHeight="12.75" customHeight="1"/>
  <cols>
    <col min="1" max="1" width="3.1796875" customWidth="1"/>
    <col min="2" max="2" width="8.54296875" customWidth="1"/>
    <col min="3" max="3" width="46.1796875" customWidth="1"/>
    <col min="6" max="6" width="17" customWidth="1"/>
    <col min="7" max="11" width="8.7265625" customWidth="1"/>
    <col min="12" max="12" width="8.54296875" customWidth="1"/>
  </cols>
  <sheetData>
    <row r="1" spans="2:64" ht="12.75" customHeight="1">
      <c r="B1" t="s">
        <v>191</v>
      </c>
      <c r="F1" s="237" t="s">
        <v>185</v>
      </c>
      <c r="G1" s="253">
        <v>0.01</v>
      </c>
    </row>
    <row r="3" spans="2:64" ht="12.75" customHeight="1" thickBot="1">
      <c r="B3" s="237" t="s">
        <v>25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</row>
    <row r="4" spans="2:64" ht="43.5">
      <c r="B4" s="212" t="s">
        <v>113</v>
      </c>
      <c r="C4" s="213" t="s">
        <v>114</v>
      </c>
      <c r="D4" s="213" t="s">
        <v>115</v>
      </c>
      <c r="E4" s="213" t="s">
        <v>116</v>
      </c>
      <c r="F4" s="213" t="s">
        <v>117</v>
      </c>
      <c r="G4" s="214">
        <v>2021</v>
      </c>
      <c r="H4" s="214">
        <v>2022</v>
      </c>
      <c r="I4" s="214">
        <v>2023</v>
      </c>
      <c r="J4" s="214">
        <v>2024</v>
      </c>
      <c r="K4" s="214">
        <v>2025</v>
      </c>
      <c r="L4" s="215" t="s">
        <v>118</v>
      </c>
      <c r="M4" s="216" t="s">
        <v>119</v>
      </c>
      <c r="N4" s="217">
        <v>2021</v>
      </c>
      <c r="O4" s="217">
        <v>2022</v>
      </c>
      <c r="P4" s="217">
        <v>2023</v>
      </c>
      <c r="Q4" s="217">
        <v>2024</v>
      </c>
      <c r="R4" s="218">
        <v>2025</v>
      </c>
      <c r="S4" s="213" t="s">
        <v>116</v>
      </c>
      <c r="T4" s="41">
        <v>2026</v>
      </c>
      <c r="U4" s="42">
        <v>2027</v>
      </c>
      <c r="V4" s="42">
        <v>2028</v>
      </c>
      <c r="W4" s="42">
        <v>2029</v>
      </c>
      <c r="X4" s="42">
        <v>2030</v>
      </c>
      <c r="Y4" s="42">
        <v>2031</v>
      </c>
      <c r="Z4" s="42">
        <v>2032</v>
      </c>
      <c r="AA4" s="42">
        <v>2033</v>
      </c>
      <c r="AB4" s="42">
        <v>2034</v>
      </c>
      <c r="AC4" s="42">
        <v>2035</v>
      </c>
      <c r="AD4" s="42">
        <v>2036</v>
      </c>
      <c r="AE4" s="42">
        <v>2037</v>
      </c>
      <c r="AF4" s="42">
        <v>2038</v>
      </c>
      <c r="AG4" s="42">
        <v>2039</v>
      </c>
      <c r="AH4" s="42">
        <v>2040</v>
      </c>
      <c r="AI4" s="42">
        <v>2041</v>
      </c>
      <c r="AJ4" s="42">
        <v>2042</v>
      </c>
      <c r="AK4" s="42">
        <v>2043</v>
      </c>
      <c r="AL4" s="42">
        <v>2044</v>
      </c>
      <c r="AM4" s="42">
        <v>2045</v>
      </c>
      <c r="AN4" s="42">
        <v>2046</v>
      </c>
      <c r="AO4" s="42">
        <v>2047</v>
      </c>
      <c r="AP4" s="42">
        <v>2048</v>
      </c>
      <c r="AQ4" s="42">
        <v>2049</v>
      </c>
      <c r="AR4" s="42">
        <v>2050</v>
      </c>
      <c r="AS4" s="42">
        <v>2051</v>
      </c>
      <c r="AT4" s="42">
        <v>2052</v>
      </c>
      <c r="AU4" s="42">
        <v>2053</v>
      </c>
      <c r="AV4" s="42">
        <v>2054</v>
      </c>
      <c r="AW4" s="42">
        <v>2055</v>
      </c>
      <c r="AX4" s="42">
        <v>2056</v>
      </c>
      <c r="AY4" s="42">
        <v>2057</v>
      </c>
      <c r="AZ4" s="42">
        <v>2058</v>
      </c>
      <c r="BA4" s="42">
        <v>2059</v>
      </c>
      <c r="BB4" s="42">
        <v>2060</v>
      </c>
      <c r="BC4" s="42">
        <v>2061</v>
      </c>
      <c r="BD4" s="42">
        <v>2062</v>
      </c>
      <c r="BE4" s="42">
        <v>2063</v>
      </c>
      <c r="BF4" s="42">
        <v>2064</v>
      </c>
      <c r="BG4" s="42">
        <v>2065</v>
      </c>
      <c r="BH4" s="42">
        <v>2066</v>
      </c>
      <c r="BI4" s="42">
        <v>2067</v>
      </c>
      <c r="BJ4" s="42">
        <v>2068</v>
      </c>
      <c r="BK4" s="42">
        <v>2069</v>
      </c>
      <c r="BL4" s="42">
        <v>2070</v>
      </c>
    </row>
    <row r="5" spans="2:64" ht="12.75" customHeight="1">
      <c r="B5" s="311" t="s">
        <v>125</v>
      </c>
      <c r="C5" s="219" t="s">
        <v>126</v>
      </c>
      <c r="D5" s="219"/>
      <c r="E5" s="220"/>
      <c r="F5" s="219" t="s">
        <v>127</v>
      </c>
      <c r="G5" s="221"/>
      <c r="H5" s="221"/>
      <c r="I5" s="221"/>
      <c r="J5" s="221"/>
      <c r="K5" s="221"/>
      <c r="L5" s="222">
        <v>0</v>
      </c>
      <c r="M5" s="223">
        <v>60000</v>
      </c>
      <c r="N5" s="224">
        <v>0</v>
      </c>
      <c r="O5" s="224">
        <v>0</v>
      </c>
      <c r="P5" s="224">
        <v>0</v>
      </c>
      <c r="Q5" s="224">
        <v>0</v>
      </c>
      <c r="R5" s="225">
        <v>0</v>
      </c>
      <c r="S5" s="220"/>
    </row>
    <row r="6" spans="2:64" ht="12.75" customHeight="1">
      <c r="B6" s="311"/>
      <c r="C6" s="226" t="s">
        <v>128</v>
      </c>
      <c r="D6" s="227" t="s">
        <v>129</v>
      </c>
      <c r="E6" s="220">
        <v>30</v>
      </c>
      <c r="F6" s="219" t="s">
        <v>130</v>
      </c>
      <c r="G6" s="221">
        <v>0.5</v>
      </c>
      <c r="H6" s="221">
        <v>0.5</v>
      </c>
      <c r="I6" s="221"/>
      <c r="J6" s="221"/>
      <c r="K6" s="221"/>
      <c r="L6" s="222">
        <v>1</v>
      </c>
      <c r="M6" s="223">
        <v>800000</v>
      </c>
      <c r="N6" s="254">
        <v>400000</v>
      </c>
      <c r="O6" s="254">
        <v>400000</v>
      </c>
      <c r="P6" s="254">
        <v>0</v>
      </c>
      <c r="Q6" s="254">
        <v>0</v>
      </c>
      <c r="R6" s="255">
        <v>0</v>
      </c>
      <c r="S6" s="220">
        <v>30</v>
      </c>
      <c r="T6" s="249">
        <f>IF(T4=T4+Durée_de_vie__an,N6,)</f>
        <v>0</v>
      </c>
      <c r="U6" s="249">
        <f>IF(U4=U4+Durée_de_vie__an,O6,)</f>
        <v>0</v>
      </c>
      <c r="V6" s="249">
        <f>IF(V4=V4+Durée_de_vie__an,P6,)</f>
        <v>0</v>
      </c>
      <c r="W6" s="249">
        <f>IF(W4=W4+$E6,Q6,)</f>
        <v>0</v>
      </c>
      <c r="X6" s="249">
        <f>IF(X4=X4+$E6,R6,)</f>
        <v>0</v>
      </c>
      <c r="Y6" s="249">
        <f>IF(Y4=Y4+$E6,T6,)</f>
        <v>0</v>
      </c>
      <c r="Z6" s="249">
        <f>IF(Z4=Z4+$E$6,U6,)</f>
        <v>0</v>
      </c>
      <c r="AV6" s="250"/>
      <c r="AW6" s="250"/>
      <c r="AX6" s="252">
        <f>N6*(1+$G$1)^(AX$4-$N$4)</f>
        <v>566641.10241250729</v>
      </c>
      <c r="AY6" s="252">
        <f>O6*(1+$G$1)^(AY$4-$N$4)</f>
        <v>572307.51343663235</v>
      </c>
      <c r="AZ6" s="252">
        <f>P6*(1+$G$1)^(AZ$4-$N$4)</f>
        <v>0</v>
      </c>
      <c r="BA6" s="252">
        <f>Q6*(1+$G$1)^(BA$4-$N$4)</f>
        <v>0</v>
      </c>
      <c r="BB6" s="252">
        <f>R6*(1+$G$1)^(BB$4-$N$4)</f>
        <v>0</v>
      </c>
      <c r="BC6" s="250"/>
      <c r="BD6" s="251"/>
    </row>
    <row r="7" spans="2:64" ht="12.75" customHeight="1">
      <c r="B7" s="311"/>
      <c r="C7" s="219" t="s">
        <v>131</v>
      </c>
      <c r="D7" s="219"/>
      <c r="E7" s="220"/>
      <c r="F7" s="219" t="s">
        <v>130</v>
      </c>
      <c r="G7" s="221"/>
      <c r="H7" s="221"/>
      <c r="I7" s="221"/>
      <c r="J7" s="221">
        <v>0</v>
      </c>
      <c r="K7" s="221">
        <v>0</v>
      </c>
      <c r="L7" s="222">
        <v>0</v>
      </c>
      <c r="M7" s="223">
        <v>50000</v>
      </c>
      <c r="N7" s="224">
        <v>0</v>
      </c>
      <c r="O7" s="224">
        <v>0</v>
      </c>
      <c r="P7" s="224">
        <v>0</v>
      </c>
      <c r="Q7" s="224">
        <v>0</v>
      </c>
      <c r="R7" s="225">
        <v>0</v>
      </c>
      <c r="S7" s="220"/>
      <c r="AV7" s="251"/>
      <c r="AW7" s="251"/>
      <c r="AX7" s="250"/>
      <c r="AY7" s="250"/>
      <c r="AZ7" s="250"/>
      <c r="BA7" s="250"/>
      <c r="BB7" s="250"/>
      <c r="BC7" s="251"/>
      <c r="BD7" s="251"/>
    </row>
    <row r="8" spans="2:64" ht="12.75" customHeight="1">
      <c r="B8" s="311"/>
      <c r="C8" s="219" t="s">
        <v>132</v>
      </c>
      <c r="D8" s="228" t="s">
        <v>133</v>
      </c>
      <c r="E8" s="220">
        <v>10</v>
      </c>
      <c r="F8" s="219" t="s">
        <v>127</v>
      </c>
      <c r="G8" s="221">
        <v>15</v>
      </c>
      <c r="H8" s="221">
        <v>15</v>
      </c>
      <c r="I8" s="221">
        <v>15</v>
      </c>
      <c r="J8" s="221"/>
      <c r="K8" s="221"/>
      <c r="L8" s="222">
        <v>45</v>
      </c>
      <c r="M8" s="223">
        <v>15000</v>
      </c>
      <c r="N8" s="224">
        <v>225000</v>
      </c>
      <c r="O8" s="224">
        <v>225000</v>
      </c>
      <c r="P8" s="224">
        <v>225000</v>
      </c>
      <c r="Q8" s="224">
        <v>0</v>
      </c>
      <c r="R8" s="225">
        <v>0</v>
      </c>
      <c r="S8" s="220">
        <v>10</v>
      </c>
      <c r="AA8" s="252">
        <f>N8*(1+$G$1)^10</f>
        <v>248539.97821752107</v>
      </c>
      <c r="AB8" s="252">
        <f t="shared" ref="AB8" si="0">O8*(1+$G$1)^10</f>
        <v>248539.97821752107</v>
      </c>
      <c r="AC8" s="252">
        <f>P8*(1+$G$1)^10</f>
        <v>248539.97821752107</v>
      </c>
      <c r="AD8" s="252">
        <f t="shared" ref="AD8" si="1">Q8*(1+$G$1)^10</f>
        <v>0</v>
      </c>
      <c r="AE8" s="252">
        <f t="shared" ref="AE8" si="2">R8*(1+$G$1)^10</f>
        <v>0</v>
      </c>
      <c r="AM8" s="252">
        <f>AA8*(1+$G$1)^10</f>
        <v>274542.75898829265</v>
      </c>
      <c r="AN8" s="252">
        <f t="shared" ref="AN8:AQ8" si="3">AB8*(1+$G$1)^10</f>
        <v>274542.75898829265</v>
      </c>
      <c r="AO8" s="252">
        <f t="shared" si="3"/>
        <v>274542.75898829265</v>
      </c>
      <c r="AP8" s="252">
        <f t="shared" si="3"/>
        <v>0</v>
      </c>
      <c r="AQ8" s="252">
        <f t="shared" si="3"/>
        <v>0</v>
      </c>
      <c r="AY8" s="252">
        <f>AM8*(1+$G$1)^10</f>
        <v>303266.00594990398</v>
      </c>
      <c r="AZ8" s="252">
        <f t="shared" ref="AZ8" si="4">AN8*(1+$G$1)^10</f>
        <v>303266.00594990398</v>
      </c>
      <c r="BA8" s="252">
        <f t="shared" ref="BA8" si="5">AO8*(1+$G$1)^10</f>
        <v>303266.00594990398</v>
      </c>
      <c r="BB8" s="252">
        <f t="shared" ref="BB8" si="6">AP8*(1+$G$1)^10</f>
        <v>0</v>
      </c>
      <c r="BC8" s="252">
        <f t="shared" ref="BC8" si="7">AQ8*(1+$G$1)^10</f>
        <v>0</v>
      </c>
      <c r="BK8" s="252">
        <f>AY8*(1+$G$1)^10</f>
        <v>334994.34005735</v>
      </c>
      <c r="BL8" s="252">
        <f t="shared" ref="BL8" si="8">AZ8*(1+$G$1)^10</f>
        <v>334994.34005735</v>
      </c>
    </row>
    <row r="9" spans="2:64" ht="12.75" customHeight="1">
      <c r="B9" s="311"/>
      <c r="C9" s="219" t="s">
        <v>134</v>
      </c>
      <c r="D9" s="228" t="s">
        <v>133</v>
      </c>
      <c r="E9" s="220">
        <v>10</v>
      </c>
      <c r="F9" s="219" t="s">
        <v>127</v>
      </c>
      <c r="G9" s="221">
        <v>25</v>
      </c>
      <c r="H9" s="221">
        <v>25</v>
      </c>
      <c r="I9" s="221">
        <v>25</v>
      </c>
      <c r="J9" s="221"/>
      <c r="K9" s="221"/>
      <c r="L9" s="222">
        <v>75</v>
      </c>
      <c r="M9" s="223">
        <v>500</v>
      </c>
      <c r="N9" s="224">
        <v>12500</v>
      </c>
      <c r="O9" s="224">
        <v>12500</v>
      </c>
      <c r="P9" s="224">
        <v>12500</v>
      </c>
      <c r="Q9" s="224">
        <v>0</v>
      </c>
      <c r="R9" s="225">
        <v>0</v>
      </c>
      <c r="S9" s="220">
        <v>10</v>
      </c>
      <c r="AA9" s="252">
        <f t="shared" ref="AA9:AA15" si="9">N9*(1+$G$1)^10</f>
        <v>13807.77656764006</v>
      </c>
      <c r="AB9" s="252">
        <f t="shared" ref="AB9:AB15" si="10">O9*(1+$G$1)^10</f>
        <v>13807.77656764006</v>
      </c>
      <c r="AC9" s="252">
        <f t="shared" ref="AC9:AC15" si="11">P9*(1+$G$1)^10</f>
        <v>13807.77656764006</v>
      </c>
      <c r="AD9" s="252">
        <f t="shared" ref="AD9:AD15" si="12">Q9*(1+$G$1)^10</f>
        <v>0</v>
      </c>
      <c r="AE9" s="252">
        <f t="shared" ref="AE9:AE15" si="13">R9*(1+$G$1)^10</f>
        <v>0</v>
      </c>
      <c r="AM9" s="252">
        <f t="shared" ref="AM9:AM15" si="14">AA9*(1+$G$1)^10</f>
        <v>15252.375499349591</v>
      </c>
      <c r="AN9" s="252">
        <f t="shared" ref="AN9:AN15" si="15">AB9*(1+$G$1)^10</f>
        <v>15252.375499349591</v>
      </c>
      <c r="AO9" s="252">
        <f t="shared" ref="AO9:AO15" si="16">AC9*(1+$G$1)^10</f>
        <v>15252.375499349591</v>
      </c>
      <c r="AP9" s="252">
        <f t="shared" ref="AP9:AP15" si="17">AD9*(1+$G$1)^10</f>
        <v>0</v>
      </c>
      <c r="AQ9" s="252">
        <f t="shared" ref="AQ9:AQ15" si="18">AE9*(1+$G$1)^10</f>
        <v>0</v>
      </c>
      <c r="AY9" s="252">
        <f t="shared" ref="AY9:AY15" si="19">AM9*(1+$G$1)^10</f>
        <v>16848.111441661331</v>
      </c>
      <c r="AZ9" s="252">
        <f t="shared" ref="AZ9:AZ15" si="20">AN9*(1+$G$1)^10</f>
        <v>16848.111441661331</v>
      </c>
      <c r="BA9" s="252">
        <f t="shared" ref="BA9:BA15" si="21">AO9*(1+$G$1)^10</f>
        <v>16848.111441661331</v>
      </c>
      <c r="BB9" s="252">
        <f t="shared" ref="BB9:BB15" si="22">AP9*(1+$G$1)^10</f>
        <v>0</v>
      </c>
      <c r="BC9" s="252">
        <f t="shared" ref="BC9:BC15" si="23">AQ9*(1+$G$1)^10</f>
        <v>0</v>
      </c>
      <c r="BK9" s="252">
        <f t="shared" ref="BK9:BK15" si="24">AY9*(1+$G$1)^10</f>
        <v>18610.796669852778</v>
      </c>
      <c r="BL9" s="252">
        <f t="shared" ref="BL9:BL15" si="25">AZ9*(1+$G$1)^10</f>
        <v>18610.796669852778</v>
      </c>
    </row>
    <row r="10" spans="2:64" ht="12.75" customHeight="1">
      <c r="B10" s="311"/>
      <c r="C10" s="219" t="s">
        <v>135</v>
      </c>
      <c r="D10" s="228" t="s">
        <v>133</v>
      </c>
      <c r="E10" s="220">
        <v>10</v>
      </c>
      <c r="F10" s="219" t="s">
        <v>127</v>
      </c>
      <c r="G10" s="221">
        <v>5</v>
      </c>
      <c r="H10" s="221">
        <v>5</v>
      </c>
      <c r="I10" s="221">
        <v>5</v>
      </c>
      <c r="J10" s="221"/>
      <c r="K10" s="221"/>
      <c r="L10" s="222">
        <v>15</v>
      </c>
      <c r="M10" s="223">
        <v>5000</v>
      </c>
      <c r="N10" s="224">
        <v>25000</v>
      </c>
      <c r="O10" s="224">
        <v>25000</v>
      </c>
      <c r="P10" s="224">
        <v>25000</v>
      </c>
      <c r="Q10" s="224">
        <v>0</v>
      </c>
      <c r="R10" s="225">
        <v>0</v>
      </c>
      <c r="S10" s="220">
        <v>10</v>
      </c>
      <c r="AA10" s="252">
        <f t="shared" si="9"/>
        <v>27615.553135280119</v>
      </c>
      <c r="AB10" s="252">
        <f t="shared" si="10"/>
        <v>27615.553135280119</v>
      </c>
      <c r="AC10" s="252">
        <f t="shared" si="11"/>
        <v>27615.553135280119</v>
      </c>
      <c r="AD10" s="252">
        <f t="shared" si="12"/>
        <v>0</v>
      </c>
      <c r="AE10" s="252">
        <f t="shared" si="13"/>
        <v>0</v>
      </c>
      <c r="AM10" s="252">
        <f t="shared" si="14"/>
        <v>30504.750998699183</v>
      </c>
      <c r="AN10" s="252">
        <f t="shared" si="15"/>
        <v>30504.750998699183</v>
      </c>
      <c r="AO10" s="252">
        <f t="shared" si="16"/>
        <v>30504.750998699183</v>
      </c>
      <c r="AP10" s="252">
        <f t="shared" si="17"/>
        <v>0</v>
      </c>
      <c r="AQ10" s="252">
        <f t="shared" si="18"/>
        <v>0</v>
      </c>
      <c r="AY10" s="252">
        <f t="shared" si="19"/>
        <v>33696.222883322662</v>
      </c>
      <c r="AZ10" s="252">
        <f t="shared" si="20"/>
        <v>33696.222883322662</v>
      </c>
      <c r="BA10" s="252">
        <f t="shared" si="21"/>
        <v>33696.222883322662</v>
      </c>
      <c r="BB10" s="252">
        <f t="shared" si="22"/>
        <v>0</v>
      </c>
      <c r="BC10" s="252">
        <f t="shared" si="23"/>
        <v>0</v>
      </c>
      <c r="BK10" s="252">
        <f t="shared" si="24"/>
        <v>37221.593339705556</v>
      </c>
      <c r="BL10" s="252">
        <f t="shared" si="25"/>
        <v>37221.593339705556</v>
      </c>
    </row>
    <row r="11" spans="2:64" ht="12.75" customHeight="1">
      <c r="B11" s="311"/>
      <c r="C11" s="219" t="s">
        <v>136</v>
      </c>
      <c r="D11" s="228" t="s">
        <v>133</v>
      </c>
      <c r="E11" s="220">
        <v>10</v>
      </c>
      <c r="F11" s="219" t="s">
        <v>127</v>
      </c>
      <c r="G11" s="221"/>
      <c r="H11" s="221">
        <v>1</v>
      </c>
      <c r="I11" s="221"/>
      <c r="J11" s="221"/>
      <c r="K11" s="221"/>
      <c r="L11" s="222">
        <v>1</v>
      </c>
      <c r="M11" s="223">
        <v>50000</v>
      </c>
      <c r="N11" s="224">
        <v>0</v>
      </c>
      <c r="O11" s="224">
        <v>50000</v>
      </c>
      <c r="P11" s="224">
        <v>0</v>
      </c>
      <c r="Q11" s="224">
        <v>0</v>
      </c>
      <c r="R11" s="225">
        <v>0</v>
      </c>
      <c r="S11" s="220">
        <v>10</v>
      </c>
      <c r="AA11" s="252">
        <f t="shared" si="9"/>
        <v>0</v>
      </c>
      <c r="AB11" s="252">
        <f t="shared" si="10"/>
        <v>55231.106270560238</v>
      </c>
      <c r="AC11" s="252">
        <f t="shared" si="11"/>
        <v>0</v>
      </c>
      <c r="AD11" s="252">
        <f t="shared" si="12"/>
        <v>0</v>
      </c>
      <c r="AE11" s="252">
        <f t="shared" si="13"/>
        <v>0</v>
      </c>
      <c r="AM11" s="252">
        <f t="shared" si="14"/>
        <v>0</v>
      </c>
      <c r="AN11" s="252">
        <f t="shared" si="15"/>
        <v>61009.501997398365</v>
      </c>
      <c r="AO11" s="252">
        <f t="shared" si="16"/>
        <v>0</v>
      </c>
      <c r="AP11" s="252">
        <f t="shared" si="17"/>
        <v>0</v>
      </c>
      <c r="AQ11" s="252">
        <f t="shared" si="18"/>
        <v>0</v>
      </c>
      <c r="AY11" s="252">
        <f t="shared" si="19"/>
        <v>0</v>
      </c>
      <c r="AZ11" s="252">
        <f t="shared" si="20"/>
        <v>67392.445766645324</v>
      </c>
      <c r="BA11" s="252">
        <f t="shared" si="21"/>
        <v>0</v>
      </c>
      <c r="BB11" s="252">
        <f t="shared" si="22"/>
        <v>0</v>
      </c>
      <c r="BC11" s="252">
        <f t="shared" si="23"/>
        <v>0</v>
      </c>
      <c r="BK11" s="252">
        <f t="shared" si="24"/>
        <v>0</v>
      </c>
      <c r="BL11" s="252">
        <f t="shared" si="25"/>
        <v>74443.186679411112</v>
      </c>
    </row>
    <row r="12" spans="2:64" ht="12.75" customHeight="1">
      <c r="B12" s="311"/>
      <c r="C12" s="219" t="s">
        <v>137</v>
      </c>
      <c r="D12" s="228" t="s">
        <v>133</v>
      </c>
      <c r="E12" s="220">
        <v>10</v>
      </c>
      <c r="F12" s="219" t="s">
        <v>127</v>
      </c>
      <c r="G12" s="221"/>
      <c r="H12" s="221">
        <v>1</v>
      </c>
      <c r="I12" s="221"/>
      <c r="J12" s="221"/>
      <c r="K12" s="221"/>
      <c r="L12" s="222">
        <v>1</v>
      </c>
      <c r="M12" s="223">
        <v>6000</v>
      </c>
      <c r="N12" s="224">
        <v>0</v>
      </c>
      <c r="O12" s="224">
        <v>6000</v>
      </c>
      <c r="P12" s="224">
        <v>0</v>
      </c>
      <c r="Q12" s="224">
        <v>0</v>
      </c>
      <c r="R12" s="225">
        <v>0</v>
      </c>
      <c r="S12" s="220">
        <v>10</v>
      </c>
      <c r="AA12" s="252">
        <f t="shared" si="9"/>
        <v>0</v>
      </c>
      <c r="AB12" s="252">
        <f t="shared" si="10"/>
        <v>6627.7327524672282</v>
      </c>
      <c r="AC12" s="252">
        <f t="shared" si="11"/>
        <v>0</v>
      </c>
      <c r="AD12" s="252">
        <f t="shared" si="12"/>
        <v>0</v>
      </c>
      <c r="AE12" s="252">
        <f t="shared" si="13"/>
        <v>0</v>
      </c>
      <c r="AM12" s="252">
        <f t="shared" si="14"/>
        <v>0</v>
      </c>
      <c r="AN12" s="252">
        <f t="shared" si="15"/>
        <v>7321.1402396878038</v>
      </c>
      <c r="AO12" s="252">
        <f t="shared" si="16"/>
        <v>0</v>
      </c>
      <c r="AP12" s="252">
        <f t="shared" si="17"/>
        <v>0</v>
      </c>
      <c r="AQ12" s="252">
        <f t="shared" si="18"/>
        <v>0</v>
      </c>
      <c r="AY12" s="252">
        <f t="shared" si="19"/>
        <v>0</v>
      </c>
      <c r="AZ12" s="252">
        <f t="shared" si="20"/>
        <v>8087.0934919974388</v>
      </c>
      <c r="BA12" s="252">
        <f t="shared" si="21"/>
        <v>0</v>
      </c>
      <c r="BB12" s="252">
        <f t="shared" si="22"/>
        <v>0</v>
      </c>
      <c r="BC12" s="252">
        <f t="shared" si="23"/>
        <v>0</v>
      </c>
      <c r="BK12" s="252">
        <f t="shared" si="24"/>
        <v>0</v>
      </c>
      <c r="BL12" s="252">
        <f t="shared" si="25"/>
        <v>8933.1824015293332</v>
      </c>
    </row>
    <row r="13" spans="2:64" ht="12.75" customHeight="1">
      <c r="B13" s="311"/>
      <c r="C13" s="219" t="s">
        <v>138</v>
      </c>
      <c r="D13" s="228" t="s">
        <v>133</v>
      </c>
      <c r="E13" s="220">
        <v>10</v>
      </c>
      <c r="F13" s="219" t="s">
        <v>127</v>
      </c>
      <c r="G13" s="221">
        <v>1</v>
      </c>
      <c r="H13" s="221"/>
      <c r="I13" s="221"/>
      <c r="J13" s="221"/>
      <c r="K13" s="221"/>
      <c r="L13" s="222">
        <v>1</v>
      </c>
      <c r="M13" s="223">
        <v>20000</v>
      </c>
      <c r="N13" s="224">
        <v>20000</v>
      </c>
      <c r="O13" s="224">
        <v>0</v>
      </c>
      <c r="P13" s="224">
        <v>0</v>
      </c>
      <c r="Q13" s="224">
        <v>0</v>
      </c>
      <c r="R13" s="225">
        <v>0</v>
      </c>
      <c r="S13" s="220">
        <v>10</v>
      </c>
      <c r="AA13" s="252">
        <f t="shared" si="9"/>
        <v>22092.442508224096</v>
      </c>
      <c r="AB13" s="252">
        <f t="shared" si="10"/>
        <v>0</v>
      </c>
      <c r="AC13" s="252">
        <f t="shared" si="11"/>
        <v>0</v>
      </c>
      <c r="AD13" s="252">
        <f t="shared" si="12"/>
        <v>0</v>
      </c>
      <c r="AE13" s="252">
        <f t="shared" si="13"/>
        <v>0</v>
      </c>
      <c r="AM13" s="252">
        <f t="shared" si="14"/>
        <v>24403.80079895935</v>
      </c>
      <c r="AN13" s="252">
        <f t="shared" si="15"/>
        <v>0</v>
      </c>
      <c r="AO13" s="252">
        <f t="shared" si="16"/>
        <v>0</v>
      </c>
      <c r="AP13" s="252">
        <f t="shared" si="17"/>
        <v>0</v>
      </c>
      <c r="AQ13" s="252">
        <f t="shared" si="18"/>
        <v>0</v>
      </c>
      <c r="AY13" s="252">
        <f t="shared" si="19"/>
        <v>26956.978306658133</v>
      </c>
      <c r="AZ13" s="252">
        <f t="shared" si="20"/>
        <v>0</v>
      </c>
      <c r="BA13" s="252">
        <f t="shared" si="21"/>
        <v>0</v>
      </c>
      <c r="BB13" s="252">
        <f t="shared" si="22"/>
        <v>0</v>
      </c>
      <c r="BC13" s="252">
        <f t="shared" si="23"/>
        <v>0</v>
      </c>
      <c r="BK13" s="252">
        <f t="shared" si="24"/>
        <v>29777.274671764448</v>
      </c>
      <c r="BL13" s="252">
        <f t="shared" si="25"/>
        <v>0</v>
      </c>
    </row>
    <row r="14" spans="2:64" ht="12.75" customHeight="1">
      <c r="B14" s="311"/>
      <c r="C14" s="219" t="s">
        <v>139</v>
      </c>
      <c r="D14" s="228" t="s">
        <v>133</v>
      </c>
      <c r="E14" s="220">
        <v>10</v>
      </c>
      <c r="F14" s="219" t="s">
        <v>127</v>
      </c>
      <c r="G14" s="221">
        <v>1</v>
      </c>
      <c r="H14" s="221">
        <v>1</v>
      </c>
      <c r="I14" s="221"/>
      <c r="J14" s="221"/>
      <c r="K14" s="221"/>
      <c r="L14" s="222">
        <v>2</v>
      </c>
      <c r="M14" s="223">
        <v>20000</v>
      </c>
      <c r="N14" s="224">
        <v>20000</v>
      </c>
      <c r="O14" s="224">
        <v>20000</v>
      </c>
      <c r="P14" s="224">
        <v>0</v>
      </c>
      <c r="Q14" s="224">
        <v>0</v>
      </c>
      <c r="R14" s="225">
        <v>0</v>
      </c>
      <c r="S14" s="220">
        <v>10</v>
      </c>
      <c r="AA14" s="252">
        <f t="shared" si="9"/>
        <v>22092.442508224096</v>
      </c>
      <c r="AB14" s="252">
        <f t="shared" si="10"/>
        <v>22092.442508224096</v>
      </c>
      <c r="AC14" s="252">
        <f t="shared" si="11"/>
        <v>0</v>
      </c>
      <c r="AD14" s="252">
        <f t="shared" si="12"/>
        <v>0</v>
      </c>
      <c r="AE14" s="252">
        <f t="shared" si="13"/>
        <v>0</v>
      </c>
      <c r="AM14" s="252">
        <f t="shared" si="14"/>
        <v>24403.80079895935</v>
      </c>
      <c r="AN14" s="252">
        <f t="shared" si="15"/>
        <v>24403.80079895935</v>
      </c>
      <c r="AO14" s="252">
        <f t="shared" si="16"/>
        <v>0</v>
      </c>
      <c r="AP14" s="252">
        <f t="shared" si="17"/>
        <v>0</v>
      </c>
      <c r="AQ14" s="252">
        <f t="shared" si="18"/>
        <v>0</v>
      </c>
      <c r="AY14" s="252">
        <f t="shared" si="19"/>
        <v>26956.978306658133</v>
      </c>
      <c r="AZ14" s="252">
        <f t="shared" si="20"/>
        <v>26956.978306658133</v>
      </c>
      <c r="BA14" s="252">
        <f t="shared" si="21"/>
        <v>0</v>
      </c>
      <c r="BB14" s="252">
        <f t="shared" si="22"/>
        <v>0</v>
      </c>
      <c r="BC14" s="252">
        <f t="shared" si="23"/>
        <v>0</v>
      </c>
      <c r="BK14" s="252">
        <f t="shared" si="24"/>
        <v>29777.274671764448</v>
      </c>
      <c r="BL14" s="252">
        <f t="shared" si="25"/>
        <v>29777.274671764448</v>
      </c>
    </row>
    <row r="15" spans="2:64" ht="12.75" customHeight="1">
      <c r="B15" s="311"/>
      <c r="C15" s="219" t="s">
        <v>140</v>
      </c>
      <c r="D15" s="228" t="s">
        <v>133</v>
      </c>
      <c r="E15" s="220">
        <v>10</v>
      </c>
      <c r="F15" s="219" t="s">
        <v>127</v>
      </c>
      <c r="G15" s="221"/>
      <c r="H15" s="221">
        <v>1</v>
      </c>
      <c r="I15" s="221"/>
      <c r="J15" s="221"/>
      <c r="K15" s="221"/>
      <c r="L15" s="222">
        <v>1</v>
      </c>
      <c r="M15" s="223">
        <v>10000</v>
      </c>
      <c r="N15" s="224">
        <v>0</v>
      </c>
      <c r="O15" s="224">
        <v>10000</v>
      </c>
      <c r="P15" s="224">
        <v>0</v>
      </c>
      <c r="Q15" s="224">
        <v>0</v>
      </c>
      <c r="R15" s="225">
        <v>0</v>
      </c>
      <c r="S15" s="220">
        <v>10</v>
      </c>
      <c r="AA15" s="252">
        <f t="shared" si="9"/>
        <v>0</v>
      </c>
      <c r="AB15" s="252">
        <f t="shared" si="10"/>
        <v>11046.221254112048</v>
      </c>
      <c r="AC15" s="252">
        <f t="shared" si="11"/>
        <v>0</v>
      </c>
      <c r="AD15" s="252">
        <f t="shared" si="12"/>
        <v>0</v>
      </c>
      <c r="AE15" s="252">
        <f t="shared" si="13"/>
        <v>0</v>
      </c>
      <c r="AM15" s="252">
        <f t="shared" si="14"/>
        <v>0</v>
      </c>
      <c r="AN15" s="252">
        <f t="shared" si="15"/>
        <v>12201.900399479675</v>
      </c>
      <c r="AO15" s="252">
        <f t="shared" si="16"/>
        <v>0</v>
      </c>
      <c r="AP15" s="252">
        <f t="shared" si="17"/>
        <v>0</v>
      </c>
      <c r="AQ15" s="252">
        <f t="shared" si="18"/>
        <v>0</v>
      </c>
      <c r="AY15" s="252">
        <f t="shared" si="19"/>
        <v>0</v>
      </c>
      <c r="AZ15" s="252">
        <f t="shared" si="20"/>
        <v>13478.489153329067</v>
      </c>
      <c r="BA15" s="252">
        <f t="shared" si="21"/>
        <v>0</v>
      </c>
      <c r="BB15" s="252">
        <f t="shared" si="22"/>
        <v>0</v>
      </c>
      <c r="BC15" s="252">
        <f t="shared" si="23"/>
        <v>0</v>
      </c>
      <c r="BK15" s="252">
        <f t="shared" si="24"/>
        <v>0</v>
      </c>
      <c r="BL15" s="252">
        <f t="shared" si="25"/>
        <v>14888.637335882224</v>
      </c>
    </row>
    <row r="16" spans="2:64" ht="12.75" customHeight="1">
      <c r="B16" s="311"/>
      <c r="C16" s="219" t="s">
        <v>141</v>
      </c>
      <c r="D16" s="228" t="s">
        <v>133</v>
      </c>
      <c r="E16" s="220">
        <v>5</v>
      </c>
      <c r="F16" s="219" t="s">
        <v>127</v>
      </c>
      <c r="G16" s="221">
        <v>1</v>
      </c>
      <c r="H16" s="221">
        <v>2</v>
      </c>
      <c r="I16" s="221"/>
      <c r="J16" s="221"/>
      <c r="K16" s="221"/>
      <c r="L16" s="222">
        <v>3</v>
      </c>
      <c r="M16" s="223">
        <v>100000</v>
      </c>
      <c r="N16" s="224">
        <v>100000</v>
      </c>
      <c r="O16" s="224">
        <v>200000</v>
      </c>
      <c r="P16" s="224">
        <v>0</v>
      </c>
      <c r="Q16" s="224">
        <v>0</v>
      </c>
      <c r="R16" s="225">
        <v>0</v>
      </c>
      <c r="S16" s="220">
        <v>5</v>
      </c>
      <c r="U16" s="252">
        <f>N16*(1+$G$1)^5</f>
        <v>105101.00500999999</v>
      </c>
      <c r="V16" s="252">
        <f t="shared" ref="V16:Y16" si="26">O16*(1+$G$1)^5</f>
        <v>210202.01001999999</v>
      </c>
      <c r="W16" s="252">
        <f t="shared" si="26"/>
        <v>0</v>
      </c>
      <c r="X16" s="252">
        <f t="shared" si="26"/>
        <v>0</v>
      </c>
      <c r="Y16" s="252">
        <f t="shared" si="26"/>
        <v>0</v>
      </c>
      <c r="Z16" s="252">
        <f>U16*(1+$G$1)^5</f>
        <v>110462.21254112043</v>
      </c>
      <c r="AA16" s="252">
        <f t="shared" ref="AA16" si="27">T16*(1+$G$1)^5</f>
        <v>0</v>
      </c>
      <c r="AB16" s="252">
        <f t="shared" ref="AB16" si="28">U16*(1+$G$1)^5</f>
        <v>110462.21254112043</v>
      </c>
      <c r="AC16" s="252">
        <f t="shared" ref="AC16" si="29">V16*(1+$G$1)^5</f>
        <v>220924.42508224086</v>
      </c>
      <c r="AD16" s="252">
        <f t="shared" ref="AD16" si="30">W16*(1+$G$1)^5</f>
        <v>0</v>
      </c>
      <c r="AE16" s="252">
        <f>Z16*(1+$G$1)^5</f>
        <v>116096.89553699983</v>
      </c>
      <c r="AF16" s="252">
        <f t="shared" ref="AF16" si="31">Y16*(1+$G$1)^5</f>
        <v>0</v>
      </c>
      <c r="AG16" s="252">
        <f t="shared" ref="AG16" si="32">Z16*(1+$G$1)^5</f>
        <v>116096.89553699983</v>
      </c>
      <c r="AH16" s="252">
        <f t="shared" ref="AH16" si="33">AA16*(1+$G$1)^5</f>
        <v>0</v>
      </c>
      <c r="AI16" s="252">
        <f t="shared" ref="AI16" si="34">AB16*(1+$G$1)^5</f>
        <v>116096.89553699983</v>
      </c>
      <c r="AJ16" s="252">
        <f>AE16*(1+$G$1)^5</f>
        <v>122019.00399479664</v>
      </c>
      <c r="AK16" s="252">
        <f t="shared" ref="AK16" si="35">AD16*(1+$G$1)^5</f>
        <v>0</v>
      </c>
      <c r="AL16" s="252">
        <f t="shared" ref="AL16" si="36">AE16*(1+$G$1)^5</f>
        <v>122019.00399479664</v>
      </c>
      <c r="AM16" s="252">
        <f t="shared" ref="AM16" si="37">AF16*(1+$G$1)^5</f>
        <v>0</v>
      </c>
      <c r="AN16" s="252">
        <f t="shared" ref="AN16" si="38">AG16*(1+$G$1)^5</f>
        <v>122019.00399479664</v>
      </c>
      <c r="AO16" s="252">
        <f>AJ16*(1+$G$1)^5</f>
        <v>128243.19950172331</v>
      </c>
      <c r="AP16" s="252">
        <f t="shared" ref="AP16" si="39">AI16*(1+$G$1)^5</f>
        <v>122019.00399479664</v>
      </c>
      <c r="AQ16" s="252">
        <f t="shared" ref="AQ16" si="40">AJ16*(1+$G$1)^5</f>
        <v>128243.19950172331</v>
      </c>
      <c r="AR16" s="252">
        <f t="shared" ref="AR16" si="41">AK16*(1+$G$1)^5</f>
        <v>0</v>
      </c>
      <c r="AS16" s="252">
        <f t="shared" ref="AS16" si="42">AL16*(1+$G$1)^5</f>
        <v>128243.19950172331</v>
      </c>
      <c r="AT16" s="252">
        <f>AO16*(1+$G$1)^5</f>
        <v>134784.8915332905</v>
      </c>
      <c r="AU16" s="252">
        <f t="shared" ref="AU16" si="43">AN16*(1+$G$1)^5</f>
        <v>128243.19950172331</v>
      </c>
      <c r="AV16" s="252">
        <f t="shared" ref="AV16" si="44">AO16*(1+$G$1)^5</f>
        <v>134784.8915332905</v>
      </c>
      <c r="AW16" s="252">
        <f t="shared" ref="AW16" si="45">AP16*(1+$G$1)^5</f>
        <v>128243.19950172331</v>
      </c>
      <c r="AX16" s="252">
        <f t="shared" ref="AX16" si="46">AQ16*(1+$G$1)^5</f>
        <v>134784.8915332905</v>
      </c>
      <c r="AY16" s="252">
        <f>AT16*(1+$G$1)^5</f>
        <v>141660.27560312671</v>
      </c>
      <c r="AZ16" s="252">
        <f t="shared" ref="AZ16" si="47">AS16*(1+$G$1)^5</f>
        <v>134784.8915332905</v>
      </c>
      <c r="BA16" s="252">
        <f t="shared" ref="BA16" si="48">AT16*(1+$G$1)^5</f>
        <v>141660.27560312671</v>
      </c>
      <c r="BB16" s="252">
        <f t="shared" ref="BB16" si="49">AU16*(1+$G$1)^5</f>
        <v>134784.8915332905</v>
      </c>
      <c r="BC16" s="252">
        <f t="shared" ref="BC16" si="50">AV16*(1+$G$1)^5</f>
        <v>141660.27560312671</v>
      </c>
      <c r="BD16" s="252">
        <f>AY16*(1+$G$1)^5</f>
        <v>148886.37335882199</v>
      </c>
      <c r="BE16" s="252">
        <f t="shared" ref="BE16" si="51">AX16*(1+$G$1)^5</f>
        <v>141660.27560312671</v>
      </c>
      <c r="BF16" s="252">
        <f t="shared" ref="BF16" si="52">AY16*(1+$G$1)^5</f>
        <v>148886.37335882199</v>
      </c>
      <c r="BG16" s="252">
        <f t="shared" ref="BG16" si="53">AZ16*(1+$G$1)^5</f>
        <v>141660.27560312671</v>
      </c>
      <c r="BH16" s="252">
        <f t="shared" ref="BH16" si="54">BA16*(1+$G$1)^5</f>
        <v>148886.37335882199</v>
      </c>
      <c r="BI16" s="252">
        <f>BD16*(1+$G$1)^5</f>
        <v>156481.0747230628</v>
      </c>
      <c r="BJ16" s="252">
        <f t="shared" ref="BJ16" si="55">BC16*(1+$G$1)^5</f>
        <v>148886.37335882199</v>
      </c>
      <c r="BK16" s="252">
        <f t="shared" ref="BK16" si="56">BD16*(1+$G$1)^5</f>
        <v>156481.0747230628</v>
      </c>
      <c r="BL16" s="252">
        <f t="shared" ref="BL16" si="57">BE16*(1+$G$1)^5</f>
        <v>148886.37335882199</v>
      </c>
    </row>
    <row r="17" spans="2:64" ht="12.75" customHeight="1">
      <c r="B17" s="311"/>
      <c r="C17" s="219" t="s">
        <v>142</v>
      </c>
      <c r="D17" s="228" t="s">
        <v>133</v>
      </c>
      <c r="E17" s="220">
        <v>20</v>
      </c>
      <c r="F17" s="219" t="s">
        <v>127</v>
      </c>
      <c r="G17" s="221"/>
      <c r="H17" s="221">
        <v>1</v>
      </c>
      <c r="I17" s="221"/>
      <c r="J17" s="221"/>
      <c r="K17" s="221"/>
      <c r="L17" s="222">
        <v>1</v>
      </c>
      <c r="M17" s="223">
        <v>300000</v>
      </c>
      <c r="N17" s="224">
        <v>0</v>
      </c>
      <c r="O17" s="224">
        <v>300000</v>
      </c>
      <c r="P17" s="224">
        <v>0</v>
      </c>
      <c r="Q17" s="224">
        <v>0</v>
      </c>
      <c r="R17" s="225">
        <v>0</v>
      </c>
      <c r="S17" s="220">
        <v>20</v>
      </c>
      <c r="AA17" s="250"/>
      <c r="AB17" s="250"/>
      <c r="AC17" s="250"/>
      <c r="AD17" s="250"/>
      <c r="AE17" s="250"/>
      <c r="AJ17" s="256">
        <f>N17*(1+$G$1)^20</f>
        <v>0</v>
      </c>
      <c r="AK17" s="256">
        <f t="shared" ref="AK17:AN17" si="58">O17*(1+$G$1)^20</f>
        <v>366057.01198439009</v>
      </c>
      <c r="AL17" s="256">
        <f t="shared" si="58"/>
        <v>0</v>
      </c>
      <c r="AM17" s="256">
        <f t="shared" si="58"/>
        <v>0</v>
      </c>
      <c r="AN17" s="256">
        <f t="shared" si="58"/>
        <v>0</v>
      </c>
      <c r="AO17" s="257"/>
      <c r="BD17" s="256">
        <f>AJ17*(1+$G$1)^20</f>
        <v>0</v>
      </c>
      <c r="BE17" s="256">
        <f t="shared" ref="BE17:BH17" si="59">AK17</f>
        <v>366057.01198439009</v>
      </c>
      <c r="BF17" s="256">
        <f t="shared" si="59"/>
        <v>0</v>
      </c>
      <c r="BG17" s="256">
        <f t="shared" si="59"/>
        <v>0</v>
      </c>
      <c r="BH17" s="256">
        <f t="shared" si="59"/>
        <v>0</v>
      </c>
    </row>
    <row r="18" spans="2:64" ht="12.75" customHeight="1">
      <c r="B18" s="311"/>
      <c r="C18" s="219" t="s">
        <v>143</v>
      </c>
      <c r="D18" s="228" t="s">
        <v>133</v>
      </c>
      <c r="E18" s="220">
        <v>10</v>
      </c>
      <c r="F18" s="219" t="s">
        <v>127</v>
      </c>
      <c r="G18" s="221"/>
      <c r="H18" s="221">
        <v>1</v>
      </c>
      <c r="I18" s="221">
        <v>1</v>
      </c>
      <c r="J18" s="221"/>
      <c r="K18" s="221"/>
      <c r="L18" s="222">
        <v>2</v>
      </c>
      <c r="M18" s="223">
        <v>480000</v>
      </c>
      <c r="N18" s="224">
        <v>0</v>
      </c>
      <c r="O18" s="224">
        <v>480000</v>
      </c>
      <c r="P18" s="224">
        <v>480000</v>
      </c>
      <c r="Q18" s="224">
        <v>0</v>
      </c>
      <c r="R18" s="225">
        <v>0</v>
      </c>
      <c r="S18" s="220">
        <v>10</v>
      </c>
      <c r="AA18" s="252">
        <f>N18*(1+$G$1)^10</f>
        <v>0</v>
      </c>
      <c r="AB18" s="252">
        <f t="shared" ref="AB18" si="60">O18*(1+$G$1)^10</f>
        <v>530218.62019737833</v>
      </c>
      <c r="AC18" s="252">
        <f>P18*(1+$G$1)^10</f>
        <v>530218.62019737833</v>
      </c>
      <c r="AD18" s="252">
        <f t="shared" ref="AD18" si="61">Q18*(1+$G$1)^10</f>
        <v>0</v>
      </c>
      <c r="AE18" s="252">
        <f t="shared" ref="AE18" si="62">R18*(1+$G$1)^10</f>
        <v>0</v>
      </c>
      <c r="AM18" s="252">
        <f>AA18*(1+$G$1)^10</f>
        <v>0</v>
      </c>
      <c r="AN18" s="252">
        <f t="shared" ref="AN18" si="63">AB18*(1+$G$1)^10</f>
        <v>585691.21917502442</v>
      </c>
      <c r="AO18" s="252">
        <f t="shared" ref="AO18" si="64">AC18*(1+$G$1)^10</f>
        <v>585691.21917502442</v>
      </c>
      <c r="AP18" s="252">
        <f t="shared" ref="AP18" si="65">AD18*(1+$G$1)^10</f>
        <v>0</v>
      </c>
      <c r="AQ18" s="252">
        <f t="shared" ref="AQ18" si="66">AE18*(1+$G$1)^10</f>
        <v>0</v>
      </c>
      <c r="AY18" s="252">
        <f>AM18*(1+$G$1)^10</f>
        <v>0</v>
      </c>
      <c r="AZ18" s="252">
        <f t="shared" ref="AZ18" si="67">AN18*(1+$G$1)^10</f>
        <v>646967.47935979522</v>
      </c>
      <c r="BA18" s="252">
        <f t="shared" ref="BA18" si="68">AO18*(1+$G$1)^10</f>
        <v>646967.47935979522</v>
      </c>
      <c r="BB18" s="252">
        <f t="shared" ref="BB18" si="69">AP18*(1+$G$1)^10</f>
        <v>0</v>
      </c>
      <c r="BC18" s="252">
        <f t="shared" ref="BC18" si="70">AQ18*(1+$G$1)^10</f>
        <v>0</v>
      </c>
      <c r="BK18" s="252">
        <f>AY18*(1+$G$1)^10</f>
        <v>0</v>
      </c>
      <c r="BL18" s="252">
        <f t="shared" ref="BL18" si="71">AZ18*(1+$G$1)^10</f>
        <v>714654.59212234674</v>
      </c>
    </row>
    <row r="19" spans="2:64" ht="12.75" customHeight="1">
      <c r="B19" s="311"/>
      <c r="C19" s="219" t="s">
        <v>144</v>
      </c>
      <c r="D19" s="228" t="s">
        <v>133</v>
      </c>
      <c r="E19" s="220">
        <v>15</v>
      </c>
      <c r="F19" s="219" t="s">
        <v>127</v>
      </c>
      <c r="G19" s="221"/>
      <c r="H19" s="221">
        <v>1</v>
      </c>
      <c r="I19" s="221"/>
      <c r="J19" s="221"/>
      <c r="K19" s="221"/>
      <c r="L19" s="222">
        <v>1</v>
      </c>
      <c r="M19" s="223">
        <v>240000</v>
      </c>
      <c r="N19" s="224">
        <v>0</v>
      </c>
      <c r="O19" s="224">
        <v>240000</v>
      </c>
      <c r="P19" s="224">
        <v>0</v>
      </c>
      <c r="Q19" s="224">
        <v>0</v>
      </c>
      <c r="R19" s="225">
        <v>0</v>
      </c>
      <c r="S19" s="220">
        <v>15</v>
      </c>
      <c r="AA19" s="250"/>
      <c r="AB19" s="250"/>
      <c r="AC19" s="250"/>
      <c r="AD19" s="250"/>
      <c r="AE19" s="252">
        <f>N19*(1+$G$1)^15</f>
        <v>0</v>
      </c>
      <c r="AF19" s="252">
        <f t="shared" ref="AF19:AI19" si="72">O19*(1+$G$1)^15</f>
        <v>278632.54928879964</v>
      </c>
      <c r="AG19" s="252">
        <f t="shared" si="72"/>
        <v>0</v>
      </c>
      <c r="AH19" s="252">
        <f t="shared" si="72"/>
        <v>0</v>
      </c>
      <c r="AI19" s="252">
        <f t="shared" si="72"/>
        <v>0</v>
      </c>
      <c r="AU19" s="258">
        <f>AE19*(1+$G$1)</f>
        <v>0</v>
      </c>
      <c r="AV19" s="258">
        <f t="shared" ref="AV19:AY19" si="73">AF19*(1+$G$1)</f>
        <v>281418.87478168763</v>
      </c>
      <c r="AW19" s="258">
        <f t="shared" si="73"/>
        <v>0</v>
      </c>
      <c r="AX19" s="258">
        <f t="shared" si="73"/>
        <v>0</v>
      </c>
      <c r="AY19" s="258">
        <f t="shared" si="73"/>
        <v>0</v>
      </c>
      <c r="BK19" s="258">
        <f>AU19*(1+$G$1)^15</f>
        <v>0</v>
      </c>
      <c r="BL19" s="258">
        <f t="shared" ref="BL19" si="74">AV19*(1+$G$1)^15</f>
        <v>326718.57707669627</v>
      </c>
    </row>
    <row r="20" spans="2:64" ht="12.75" customHeight="1">
      <c r="B20" s="311"/>
      <c r="C20" s="219" t="s">
        <v>145</v>
      </c>
      <c r="D20" s="228" t="s">
        <v>133</v>
      </c>
      <c r="E20" s="220">
        <v>20</v>
      </c>
      <c r="F20" s="219" t="s">
        <v>127</v>
      </c>
      <c r="G20" s="221"/>
      <c r="H20" s="221">
        <v>1</v>
      </c>
      <c r="I20" s="221"/>
      <c r="J20" s="221"/>
      <c r="K20" s="221"/>
      <c r="L20" s="222">
        <v>1</v>
      </c>
      <c r="M20" s="223">
        <v>2500000</v>
      </c>
      <c r="N20" s="224">
        <v>0</v>
      </c>
      <c r="O20" s="224">
        <v>2500000</v>
      </c>
      <c r="P20" s="224">
        <v>0</v>
      </c>
      <c r="Q20" s="224">
        <v>0</v>
      </c>
      <c r="R20" s="225">
        <v>0</v>
      </c>
      <c r="S20" s="220">
        <v>20</v>
      </c>
      <c r="AA20" s="250"/>
      <c r="AB20" s="250"/>
      <c r="AC20" s="250"/>
      <c r="AD20" s="250"/>
      <c r="AE20" s="250"/>
      <c r="AJ20" s="256">
        <f>N20*(1+$G$1)^20</f>
        <v>0</v>
      </c>
      <c r="AK20" s="256">
        <f t="shared" ref="AK20" si="75">O20*(1+$G$1)^20</f>
        <v>3050475.0998699176</v>
      </c>
      <c r="AL20" s="256">
        <f t="shared" ref="AL20" si="76">P20*(1+$G$1)^20</f>
        <v>0</v>
      </c>
      <c r="AM20" s="256">
        <f t="shared" ref="AM20" si="77">Q20*(1+$G$1)^20</f>
        <v>0</v>
      </c>
      <c r="AN20" s="256">
        <f t="shared" ref="AN20" si="78">R20*(1+$G$1)^20</f>
        <v>0</v>
      </c>
      <c r="AO20" s="257"/>
      <c r="BD20" s="256">
        <f>AJ20*(1+$G$1)^20</f>
        <v>0</v>
      </c>
      <c r="BE20" s="256">
        <f t="shared" ref="BE20" si="79">AK20</f>
        <v>3050475.0998699176</v>
      </c>
      <c r="BF20" s="256">
        <f t="shared" ref="BF20" si="80">AL20</f>
        <v>0</v>
      </c>
      <c r="BG20" s="256">
        <f t="shared" ref="BG20" si="81">AM20</f>
        <v>0</v>
      </c>
      <c r="BH20" s="256">
        <f t="shared" ref="BH20" si="82">AN20</f>
        <v>0</v>
      </c>
    </row>
    <row r="21" spans="2:64" ht="12.75" customHeight="1" thickBot="1">
      <c r="B21" s="312"/>
      <c r="C21" s="229" t="s">
        <v>146</v>
      </c>
      <c r="D21" s="228" t="s">
        <v>133</v>
      </c>
      <c r="E21" s="230">
        <v>30</v>
      </c>
      <c r="F21" s="231" t="s">
        <v>130</v>
      </c>
      <c r="G21" s="232">
        <v>0</v>
      </c>
      <c r="H21" s="232"/>
      <c r="I21" s="232">
        <v>0</v>
      </c>
      <c r="J21" s="232">
        <v>0</v>
      </c>
      <c r="K21" s="232">
        <v>0</v>
      </c>
      <c r="L21" s="233">
        <v>0</v>
      </c>
      <c r="M21" s="234">
        <v>500000</v>
      </c>
      <c r="N21" s="235">
        <v>0</v>
      </c>
      <c r="O21" s="235">
        <v>0</v>
      </c>
      <c r="P21" s="235">
        <v>0</v>
      </c>
      <c r="Q21" s="235">
        <v>0</v>
      </c>
      <c r="R21" s="236">
        <v>0</v>
      </c>
      <c r="S21" s="230">
        <v>30</v>
      </c>
      <c r="AX21" s="252">
        <f>N21*(1+$G$1)^(AX$4-$N$4)</f>
        <v>0</v>
      </c>
      <c r="AY21" s="252">
        <f>O21*(1+$G$1)^(AY$4-$N$4)</f>
        <v>0</v>
      </c>
      <c r="AZ21" s="252">
        <f t="shared" ref="AZ21" si="83">P21*(1+$G$1)^(AZ$4-$N$4)</f>
        <v>0</v>
      </c>
      <c r="BA21" s="252">
        <f t="shared" ref="BA21" si="84">Q21*(1+$G$1)^(BA$4-$N$4)</f>
        <v>0</v>
      </c>
      <c r="BB21" s="252">
        <f t="shared" ref="BB21" si="85">R21*(1+$G$1)^(BB$4-$N$4)</f>
        <v>0</v>
      </c>
    </row>
    <row r="22" spans="2:64" ht="12.75" customHeight="1" thickBot="1"/>
    <row r="23" spans="2:64" ht="43.5">
      <c r="B23" s="212" t="s">
        <v>113</v>
      </c>
      <c r="C23" s="213" t="s">
        <v>114</v>
      </c>
      <c r="D23" s="213" t="s">
        <v>115</v>
      </c>
      <c r="E23" s="213" t="s">
        <v>116</v>
      </c>
      <c r="F23" s="213" t="s">
        <v>117</v>
      </c>
      <c r="G23" s="214">
        <v>2021</v>
      </c>
      <c r="H23" s="214">
        <v>2022</v>
      </c>
      <c r="I23" s="214">
        <v>2023</v>
      </c>
      <c r="J23" s="214">
        <v>2024</v>
      </c>
      <c r="K23" s="214">
        <v>2025</v>
      </c>
      <c r="L23" s="215" t="s">
        <v>118</v>
      </c>
      <c r="M23" s="216" t="s">
        <v>119</v>
      </c>
      <c r="N23" s="217" t="s">
        <v>120</v>
      </c>
      <c r="O23" s="217" t="s">
        <v>121</v>
      </c>
      <c r="P23" s="217" t="s">
        <v>122</v>
      </c>
      <c r="Q23" s="217" t="s">
        <v>123</v>
      </c>
      <c r="R23" s="217" t="s">
        <v>124</v>
      </c>
      <c r="S23" s="213" t="s">
        <v>116</v>
      </c>
    </row>
    <row r="24" spans="2:64" ht="12.75" customHeight="1">
      <c r="B24" s="313" t="s">
        <v>147</v>
      </c>
      <c r="C24" s="219" t="s">
        <v>148</v>
      </c>
      <c r="D24" s="228" t="s">
        <v>133</v>
      </c>
      <c r="E24" s="220">
        <v>10</v>
      </c>
      <c r="F24" s="219" t="s">
        <v>149</v>
      </c>
      <c r="G24" s="221">
        <v>1</v>
      </c>
      <c r="H24" s="221"/>
      <c r="I24" s="221"/>
      <c r="J24" s="221"/>
      <c r="K24" s="221"/>
      <c r="L24" s="222">
        <v>1</v>
      </c>
      <c r="M24" s="223">
        <v>300000</v>
      </c>
      <c r="N24" s="224">
        <v>300000</v>
      </c>
      <c r="O24" s="224">
        <v>0</v>
      </c>
      <c r="P24" s="224">
        <v>0</v>
      </c>
      <c r="Q24" s="224">
        <v>0</v>
      </c>
      <c r="R24" s="224">
        <v>0</v>
      </c>
      <c r="S24" s="220">
        <v>10</v>
      </c>
      <c r="AA24" s="252">
        <f t="shared" ref="AA24:AA28" si="86">N24*(1+$G$1)^10</f>
        <v>331386.63762336143</v>
      </c>
      <c r="AB24" s="252">
        <f t="shared" ref="AB24:AB28" si="87">O24*(1+$G$1)^10</f>
        <v>0</v>
      </c>
      <c r="AC24" s="252">
        <f t="shared" ref="AC24:AC28" si="88">P24*(1+$G$1)^10</f>
        <v>0</v>
      </c>
      <c r="AD24" s="252">
        <f t="shared" ref="AD24:AD28" si="89">Q24*(1+$G$1)^10</f>
        <v>0</v>
      </c>
      <c r="AE24" s="252">
        <f t="shared" ref="AE24:AE28" si="90">R24*(1+$G$1)^10</f>
        <v>0</v>
      </c>
      <c r="AM24" s="252">
        <f t="shared" ref="AM24:AM28" si="91">AA24*(1+$G$1)^10</f>
        <v>366057.01198439021</v>
      </c>
      <c r="AN24" s="252">
        <f t="shared" ref="AN24:AN28" si="92">AB24*(1+$G$1)^10</f>
        <v>0</v>
      </c>
      <c r="AO24" s="252">
        <f t="shared" ref="AO24:AO28" si="93">AC24*(1+$G$1)^10</f>
        <v>0</v>
      </c>
      <c r="AP24" s="252">
        <f t="shared" ref="AP24:AP28" si="94">AD24*(1+$G$1)^10</f>
        <v>0</v>
      </c>
      <c r="AQ24" s="252">
        <f t="shared" ref="AQ24:AQ28" si="95">AE24*(1+$G$1)^10</f>
        <v>0</v>
      </c>
      <c r="AY24" s="252">
        <f t="shared" ref="AY24:AY28" si="96">AM24*(1+$G$1)^10</f>
        <v>404354.67459987197</v>
      </c>
      <c r="AZ24" s="252">
        <f t="shared" ref="AZ24:AZ28" si="97">AN24*(1+$G$1)^10</f>
        <v>0</v>
      </c>
      <c r="BA24" s="252">
        <f t="shared" ref="BA24:BA28" si="98">AO24*(1+$G$1)^10</f>
        <v>0</v>
      </c>
      <c r="BB24" s="252">
        <f t="shared" ref="BB24:BB28" si="99">AP24*(1+$G$1)^10</f>
        <v>0</v>
      </c>
      <c r="BC24" s="252">
        <f t="shared" ref="BC24:BC28" si="100">AQ24*(1+$G$1)^10</f>
        <v>0</v>
      </c>
      <c r="BK24" s="252">
        <f t="shared" ref="BK24:BK28" si="101">AY24*(1+$G$1)^10</f>
        <v>446659.12007646664</v>
      </c>
      <c r="BL24" s="252">
        <f t="shared" ref="BL24:BL28" si="102">AZ24*(1+$G$1)^10</f>
        <v>0</v>
      </c>
    </row>
    <row r="25" spans="2:64" ht="12.75" customHeight="1">
      <c r="B25" s="314"/>
      <c r="C25" s="219" t="s">
        <v>150</v>
      </c>
      <c r="D25" s="228" t="s">
        <v>133</v>
      </c>
      <c r="E25" s="220">
        <v>10</v>
      </c>
      <c r="F25" s="219" t="s">
        <v>127</v>
      </c>
      <c r="G25" s="221">
        <v>1</v>
      </c>
      <c r="H25" s="221"/>
      <c r="I25" s="221"/>
      <c r="J25" s="221"/>
      <c r="K25" s="221"/>
      <c r="L25" s="222">
        <v>1</v>
      </c>
      <c r="M25" s="223">
        <v>300000</v>
      </c>
      <c r="N25" s="224">
        <v>300000</v>
      </c>
      <c r="O25" s="224">
        <v>0</v>
      </c>
      <c r="P25" s="224">
        <v>0</v>
      </c>
      <c r="Q25" s="224">
        <v>0</v>
      </c>
      <c r="R25" s="224">
        <v>0</v>
      </c>
      <c r="S25" s="220">
        <v>10</v>
      </c>
      <c r="AA25" s="252">
        <f t="shared" si="86"/>
        <v>331386.63762336143</v>
      </c>
      <c r="AB25" s="252">
        <f t="shared" si="87"/>
        <v>0</v>
      </c>
      <c r="AC25" s="252">
        <f t="shared" si="88"/>
        <v>0</v>
      </c>
      <c r="AD25" s="252">
        <f t="shared" si="89"/>
        <v>0</v>
      </c>
      <c r="AE25" s="252">
        <f t="shared" si="90"/>
        <v>0</v>
      </c>
      <c r="AM25" s="252">
        <f t="shared" si="91"/>
        <v>366057.01198439021</v>
      </c>
      <c r="AN25" s="252">
        <f t="shared" si="92"/>
        <v>0</v>
      </c>
      <c r="AO25" s="252">
        <f t="shared" si="93"/>
        <v>0</v>
      </c>
      <c r="AP25" s="252">
        <f t="shared" si="94"/>
        <v>0</v>
      </c>
      <c r="AQ25" s="252">
        <f t="shared" si="95"/>
        <v>0</v>
      </c>
      <c r="AY25" s="252">
        <f t="shared" si="96"/>
        <v>404354.67459987197</v>
      </c>
      <c r="AZ25" s="252">
        <f t="shared" si="97"/>
        <v>0</v>
      </c>
      <c r="BA25" s="252">
        <f t="shared" si="98"/>
        <v>0</v>
      </c>
      <c r="BB25" s="252">
        <f t="shared" si="99"/>
        <v>0</v>
      </c>
      <c r="BC25" s="252">
        <f t="shared" si="100"/>
        <v>0</v>
      </c>
      <c r="BK25" s="252">
        <f t="shared" si="101"/>
        <v>446659.12007646664</v>
      </c>
      <c r="BL25" s="252">
        <f t="shared" si="102"/>
        <v>0</v>
      </c>
    </row>
    <row r="26" spans="2:64" ht="12.75" customHeight="1">
      <c r="B26" s="314"/>
      <c r="C26" s="219" t="s">
        <v>151</v>
      </c>
      <c r="D26" s="228" t="s">
        <v>133</v>
      </c>
      <c r="E26" s="220">
        <v>10</v>
      </c>
      <c r="F26" s="219" t="s">
        <v>127</v>
      </c>
      <c r="G26" s="221">
        <v>1</v>
      </c>
      <c r="H26" s="221"/>
      <c r="I26" s="221"/>
      <c r="J26" s="221"/>
      <c r="K26" s="221"/>
      <c r="L26" s="222">
        <v>1</v>
      </c>
      <c r="M26" s="223">
        <v>200000</v>
      </c>
      <c r="N26" s="224">
        <v>200000</v>
      </c>
      <c r="O26" s="224">
        <v>0</v>
      </c>
      <c r="P26" s="224">
        <v>0</v>
      </c>
      <c r="Q26" s="224">
        <v>0</v>
      </c>
      <c r="R26" s="224">
        <v>0</v>
      </c>
      <c r="S26" s="220">
        <v>10</v>
      </c>
      <c r="AA26" s="252">
        <f t="shared" si="86"/>
        <v>220924.42508224095</v>
      </c>
      <c r="AB26" s="252">
        <f t="shared" si="87"/>
        <v>0</v>
      </c>
      <c r="AC26" s="252">
        <f t="shared" si="88"/>
        <v>0</v>
      </c>
      <c r="AD26" s="252">
        <f t="shared" si="89"/>
        <v>0</v>
      </c>
      <c r="AE26" s="252">
        <f t="shared" si="90"/>
        <v>0</v>
      </c>
      <c r="AM26" s="252">
        <f t="shared" si="91"/>
        <v>244038.00798959346</v>
      </c>
      <c r="AN26" s="252">
        <f t="shared" si="92"/>
        <v>0</v>
      </c>
      <c r="AO26" s="252">
        <f t="shared" si="93"/>
        <v>0</v>
      </c>
      <c r="AP26" s="252">
        <f t="shared" si="94"/>
        <v>0</v>
      </c>
      <c r="AQ26" s="252">
        <f t="shared" si="95"/>
        <v>0</v>
      </c>
      <c r="AY26" s="252">
        <f t="shared" si="96"/>
        <v>269569.78306658129</v>
      </c>
      <c r="AZ26" s="252">
        <f t="shared" si="97"/>
        <v>0</v>
      </c>
      <c r="BA26" s="252">
        <f t="shared" si="98"/>
        <v>0</v>
      </c>
      <c r="BB26" s="252">
        <f t="shared" si="99"/>
        <v>0</v>
      </c>
      <c r="BC26" s="252">
        <f t="shared" si="100"/>
        <v>0</v>
      </c>
      <c r="BK26" s="252">
        <f t="shared" si="101"/>
        <v>297772.74671764445</v>
      </c>
      <c r="BL26" s="252">
        <f t="shared" si="102"/>
        <v>0</v>
      </c>
    </row>
    <row r="27" spans="2:64" ht="12.75" customHeight="1">
      <c r="B27" s="314"/>
      <c r="C27" s="219" t="s">
        <v>152</v>
      </c>
      <c r="D27" s="228" t="s">
        <v>133</v>
      </c>
      <c r="E27" s="220">
        <v>10</v>
      </c>
      <c r="F27" s="219" t="s">
        <v>127</v>
      </c>
      <c r="G27" s="221"/>
      <c r="H27" s="221">
        <v>1</v>
      </c>
      <c r="I27" s="221"/>
      <c r="J27" s="221"/>
      <c r="K27" s="221"/>
      <c r="L27" s="222">
        <v>1</v>
      </c>
      <c r="M27" s="223">
        <v>300000</v>
      </c>
      <c r="N27" s="224">
        <v>0</v>
      </c>
      <c r="O27" s="224">
        <v>300000</v>
      </c>
      <c r="P27" s="224">
        <v>0</v>
      </c>
      <c r="Q27" s="224">
        <v>0</v>
      </c>
      <c r="R27" s="224">
        <v>0</v>
      </c>
      <c r="S27" s="220">
        <v>10</v>
      </c>
      <c r="AA27" s="252">
        <f t="shared" si="86"/>
        <v>0</v>
      </c>
      <c r="AB27" s="252">
        <f t="shared" si="87"/>
        <v>331386.63762336143</v>
      </c>
      <c r="AC27" s="252">
        <f t="shared" si="88"/>
        <v>0</v>
      </c>
      <c r="AD27" s="252">
        <f t="shared" si="89"/>
        <v>0</v>
      </c>
      <c r="AE27" s="252">
        <f t="shared" si="90"/>
        <v>0</v>
      </c>
      <c r="AM27" s="252">
        <f t="shared" si="91"/>
        <v>0</v>
      </c>
      <c r="AN27" s="252">
        <f t="shared" si="92"/>
        <v>366057.01198439021</v>
      </c>
      <c r="AO27" s="252">
        <f t="shared" si="93"/>
        <v>0</v>
      </c>
      <c r="AP27" s="252">
        <f t="shared" si="94"/>
        <v>0</v>
      </c>
      <c r="AQ27" s="252">
        <f t="shared" si="95"/>
        <v>0</v>
      </c>
      <c r="AY27" s="252">
        <f t="shared" si="96"/>
        <v>0</v>
      </c>
      <c r="AZ27" s="252">
        <f t="shared" si="97"/>
        <v>404354.67459987197</v>
      </c>
      <c r="BA27" s="252">
        <f t="shared" si="98"/>
        <v>0</v>
      </c>
      <c r="BB27" s="252">
        <f t="shared" si="99"/>
        <v>0</v>
      </c>
      <c r="BC27" s="252">
        <f t="shared" si="100"/>
        <v>0</v>
      </c>
      <c r="BK27" s="252">
        <f t="shared" si="101"/>
        <v>0</v>
      </c>
      <c r="BL27" s="252">
        <f t="shared" si="102"/>
        <v>446659.12007646664</v>
      </c>
    </row>
    <row r="28" spans="2:64" ht="12.75" customHeight="1">
      <c r="B28" s="314"/>
      <c r="C28" s="219" t="s">
        <v>153</v>
      </c>
      <c r="D28" s="228" t="s">
        <v>133</v>
      </c>
      <c r="E28" s="220">
        <v>10</v>
      </c>
      <c r="F28" s="219" t="s">
        <v>149</v>
      </c>
      <c r="G28" s="221"/>
      <c r="H28" s="221">
        <v>2</v>
      </c>
      <c r="I28" s="221"/>
      <c r="J28" s="221"/>
      <c r="K28" s="221"/>
      <c r="L28" s="222">
        <v>2</v>
      </c>
      <c r="M28" s="223">
        <v>150000</v>
      </c>
      <c r="N28" s="224">
        <v>0</v>
      </c>
      <c r="O28" s="224">
        <v>300000</v>
      </c>
      <c r="P28" s="224">
        <v>0</v>
      </c>
      <c r="Q28" s="224">
        <v>0</v>
      </c>
      <c r="R28" s="224">
        <v>0</v>
      </c>
      <c r="S28" s="220">
        <v>10</v>
      </c>
      <c r="AA28" s="252">
        <f t="shared" si="86"/>
        <v>0</v>
      </c>
      <c r="AB28" s="252">
        <f t="shared" si="87"/>
        <v>331386.63762336143</v>
      </c>
      <c r="AC28" s="252">
        <f t="shared" si="88"/>
        <v>0</v>
      </c>
      <c r="AD28" s="252">
        <f t="shared" si="89"/>
        <v>0</v>
      </c>
      <c r="AE28" s="252">
        <f t="shared" si="90"/>
        <v>0</v>
      </c>
      <c r="AM28" s="252">
        <f t="shared" si="91"/>
        <v>0</v>
      </c>
      <c r="AN28" s="252">
        <f t="shared" si="92"/>
        <v>366057.01198439021</v>
      </c>
      <c r="AO28" s="252">
        <f t="shared" si="93"/>
        <v>0</v>
      </c>
      <c r="AP28" s="252">
        <f t="shared" si="94"/>
        <v>0</v>
      </c>
      <c r="AQ28" s="252">
        <f t="shared" si="95"/>
        <v>0</v>
      </c>
      <c r="AY28" s="252">
        <f t="shared" si="96"/>
        <v>0</v>
      </c>
      <c r="AZ28" s="252">
        <f t="shared" si="97"/>
        <v>404354.67459987197</v>
      </c>
      <c r="BA28" s="252">
        <f t="shared" si="98"/>
        <v>0</v>
      </c>
      <c r="BB28" s="252">
        <f t="shared" si="99"/>
        <v>0</v>
      </c>
      <c r="BC28" s="252">
        <f t="shared" si="100"/>
        <v>0</v>
      </c>
      <c r="BK28" s="252">
        <f t="shared" si="101"/>
        <v>0</v>
      </c>
      <c r="BL28" s="252">
        <f t="shared" si="102"/>
        <v>446659.12007646664</v>
      </c>
    </row>
    <row r="29" spans="2:64" ht="12.75" customHeight="1">
      <c r="B29" s="314"/>
      <c r="C29" s="219" t="s">
        <v>154</v>
      </c>
      <c r="D29" s="228" t="s">
        <v>133</v>
      </c>
      <c r="E29" s="220"/>
      <c r="F29" s="219" t="s">
        <v>149</v>
      </c>
      <c r="G29" s="221"/>
      <c r="H29" s="221"/>
      <c r="I29" s="221"/>
      <c r="J29" s="221"/>
      <c r="K29" s="221"/>
      <c r="L29" s="222">
        <v>0</v>
      </c>
      <c r="M29" s="223">
        <v>360000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0"/>
    </row>
    <row r="30" spans="2:64" ht="12.75" customHeight="1">
      <c r="B30" s="314"/>
      <c r="C30" s="219" t="s">
        <v>155</v>
      </c>
      <c r="D30" s="228" t="s">
        <v>133</v>
      </c>
      <c r="E30" s="220">
        <v>10</v>
      </c>
      <c r="F30" s="219" t="s">
        <v>149</v>
      </c>
      <c r="G30" s="221"/>
      <c r="H30" s="221">
        <v>1</v>
      </c>
      <c r="I30" s="221"/>
      <c r="J30" s="221"/>
      <c r="K30" s="221"/>
      <c r="L30" s="222">
        <v>1</v>
      </c>
      <c r="M30" s="223">
        <v>300000</v>
      </c>
      <c r="N30" s="224">
        <v>0</v>
      </c>
      <c r="O30" s="224">
        <v>300000</v>
      </c>
      <c r="P30" s="224">
        <v>0</v>
      </c>
      <c r="Q30" s="224">
        <v>0</v>
      </c>
      <c r="R30" s="224">
        <v>0</v>
      </c>
      <c r="S30" s="220">
        <v>10</v>
      </c>
      <c r="AA30" s="252">
        <f t="shared" ref="AA30:AA31" si="103">N30*(1+$G$1)^10</f>
        <v>0</v>
      </c>
      <c r="AB30" s="252">
        <f t="shared" ref="AB30:AB31" si="104">O30*(1+$G$1)^10</f>
        <v>331386.63762336143</v>
      </c>
      <c r="AC30" s="252">
        <f t="shared" ref="AC30:AC31" si="105">P30*(1+$G$1)^10</f>
        <v>0</v>
      </c>
      <c r="AD30" s="252">
        <f t="shared" ref="AD30:AD31" si="106">Q30*(1+$G$1)^10</f>
        <v>0</v>
      </c>
      <c r="AE30" s="252">
        <f t="shared" ref="AE30:AE31" si="107">R30*(1+$G$1)^10</f>
        <v>0</v>
      </c>
      <c r="AM30" s="252">
        <f t="shared" ref="AM30:AM31" si="108">AA30*(1+$G$1)^10</f>
        <v>0</v>
      </c>
      <c r="AN30" s="252">
        <f t="shared" ref="AN30:AN31" si="109">AB30*(1+$G$1)^10</f>
        <v>366057.01198439021</v>
      </c>
      <c r="AO30" s="252">
        <f t="shared" ref="AO30:AO31" si="110">AC30*(1+$G$1)^10</f>
        <v>0</v>
      </c>
      <c r="AP30" s="252">
        <f t="shared" ref="AP30:AP31" si="111">AD30*(1+$G$1)^10</f>
        <v>0</v>
      </c>
      <c r="AQ30" s="252">
        <f t="shared" ref="AQ30:AQ31" si="112">AE30*(1+$G$1)^10</f>
        <v>0</v>
      </c>
      <c r="AY30" s="252">
        <f t="shared" ref="AY30:AY31" si="113">AM30*(1+$G$1)^10</f>
        <v>0</v>
      </c>
      <c r="AZ30" s="252">
        <f t="shared" ref="AZ30:AZ31" si="114">AN30*(1+$G$1)^10</f>
        <v>404354.67459987197</v>
      </c>
      <c r="BA30" s="252">
        <f t="shared" ref="BA30:BA31" si="115">AO30*(1+$G$1)^10</f>
        <v>0</v>
      </c>
      <c r="BB30" s="252">
        <f t="shared" ref="BB30:BB31" si="116">AP30*(1+$G$1)^10</f>
        <v>0</v>
      </c>
      <c r="BC30" s="252">
        <f t="shared" ref="BC30:BC31" si="117">AQ30*(1+$G$1)^10</f>
        <v>0</v>
      </c>
      <c r="BK30" s="252">
        <f t="shared" ref="BK30:BK31" si="118">AY30*(1+$G$1)^10</f>
        <v>0</v>
      </c>
      <c r="BL30" s="252">
        <f t="shared" ref="BL30:BL31" si="119">AZ30*(1+$G$1)^10</f>
        <v>446659.12007646664</v>
      </c>
    </row>
    <row r="31" spans="2:64" ht="12.75" customHeight="1">
      <c r="B31" s="314"/>
      <c r="C31" s="219" t="s">
        <v>156</v>
      </c>
      <c r="D31" s="228" t="s">
        <v>133</v>
      </c>
      <c r="E31" s="220">
        <v>10</v>
      </c>
      <c r="F31" s="219" t="s">
        <v>149</v>
      </c>
      <c r="G31" s="221"/>
      <c r="H31" s="221">
        <v>0.75</v>
      </c>
      <c r="I31" s="221">
        <v>0.25</v>
      </c>
      <c r="J31" s="221"/>
      <c r="K31" s="221"/>
      <c r="L31" s="222">
        <v>1</v>
      </c>
      <c r="M31" s="223">
        <v>500000</v>
      </c>
      <c r="N31" s="224">
        <v>0</v>
      </c>
      <c r="O31" s="224">
        <v>375000</v>
      </c>
      <c r="P31" s="224">
        <v>125000</v>
      </c>
      <c r="Q31" s="224">
        <v>0</v>
      </c>
      <c r="R31" s="224">
        <v>0</v>
      </c>
      <c r="S31" s="220">
        <v>10</v>
      </c>
      <c r="AA31" s="252">
        <f t="shared" si="103"/>
        <v>0</v>
      </c>
      <c r="AB31" s="252">
        <f t="shared" si="104"/>
        <v>414233.29702920176</v>
      </c>
      <c r="AC31" s="252">
        <f t="shared" si="105"/>
        <v>138077.7656764006</v>
      </c>
      <c r="AD31" s="252">
        <f t="shared" si="106"/>
        <v>0</v>
      </c>
      <c r="AE31" s="252">
        <f t="shared" si="107"/>
        <v>0</v>
      </c>
      <c r="AM31" s="252">
        <f t="shared" si="108"/>
        <v>0</v>
      </c>
      <c r="AN31" s="252">
        <f t="shared" si="109"/>
        <v>457571.26498048776</v>
      </c>
      <c r="AO31" s="252">
        <f t="shared" si="110"/>
        <v>152523.75499349591</v>
      </c>
      <c r="AP31" s="252">
        <f t="shared" si="111"/>
        <v>0</v>
      </c>
      <c r="AQ31" s="252">
        <f t="shared" si="112"/>
        <v>0</v>
      </c>
      <c r="AY31" s="252">
        <f t="shared" si="113"/>
        <v>0</v>
      </c>
      <c r="AZ31" s="252">
        <f t="shared" si="114"/>
        <v>505443.34324983996</v>
      </c>
      <c r="BA31" s="252">
        <f t="shared" si="115"/>
        <v>168481.1144166133</v>
      </c>
      <c r="BB31" s="252">
        <f t="shared" si="116"/>
        <v>0</v>
      </c>
      <c r="BC31" s="252">
        <f t="shared" si="117"/>
        <v>0</v>
      </c>
      <c r="BK31" s="252">
        <f t="shared" si="118"/>
        <v>0</v>
      </c>
      <c r="BL31" s="252">
        <f t="shared" si="119"/>
        <v>558323.90009558329</v>
      </c>
    </row>
    <row r="32" spans="2:64" ht="12.75" customHeight="1">
      <c r="B32" s="314"/>
      <c r="C32" s="219" t="s">
        <v>157</v>
      </c>
      <c r="D32" s="228" t="s">
        <v>133</v>
      </c>
      <c r="E32" s="220"/>
      <c r="F32" s="219" t="s">
        <v>127</v>
      </c>
      <c r="G32" s="221"/>
      <c r="H32" s="221"/>
      <c r="I32" s="221"/>
      <c r="J32" s="221"/>
      <c r="K32" s="221"/>
      <c r="L32" s="222">
        <v>0</v>
      </c>
      <c r="M32" s="223">
        <v>72000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0"/>
    </row>
    <row r="33" spans="2:64" ht="12.75" customHeight="1">
      <c r="B33" s="314"/>
      <c r="C33" s="219" t="s">
        <v>158</v>
      </c>
      <c r="D33" s="228" t="s">
        <v>133</v>
      </c>
      <c r="E33" s="220">
        <v>10</v>
      </c>
      <c r="F33" s="219" t="s">
        <v>149</v>
      </c>
      <c r="G33" s="221"/>
      <c r="H33" s="221">
        <v>1</v>
      </c>
      <c r="I33" s="221"/>
      <c r="J33" s="221"/>
      <c r="K33" s="221"/>
      <c r="L33" s="222">
        <v>1</v>
      </c>
      <c r="M33" s="223">
        <v>400000</v>
      </c>
      <c r="N33" s="224">
        <v>0</v>
      </c>
      <c r="O33" s="224">
        <v>400000</v>
      </c>
      <c r="P33" s="224">
        <v>0</v>
      </c>
      <c r="Q33" s="224">
        <v>0</v>
      </c>
      <c r="R33" s="224">
        <v>0</v>
      </c>
      <c r="S33" s="220">
        <v>10</v>
      </c>
      <c r="AA33" s="252">
        <f t="shared" ref="AA33:AA34" si="120">N33*(1+$G$1)^10</f>
        <v>0</v>
      </c>
      <c r="AB33" s="252">
        <f t="shared" ref="AB33:AB34" si="121">O33*(1+$G$1)^10</f>
        <v>441848.8501644819</v>
      </c>
      <c r="AC33" s="252">
        <f t="shared" ref="AC33:AC34" si="122">P33*(1+$G$1)^10</f>
        <v>0</v>
      </c>
      <c r="AD33" s="252">
        <f t="shared" ref="AD33:AD34" si="123">Q33*(1+$G$1)^10</f>
        <v>0</v>
      </c>
      <c r="AE33" s="252">
        <f t="shared" ref="AE33:AE34" si="124">R33*(1+$G$1)^10</f>
        <v>0</v>
      </c>
      <c r="AM33" s="252">
        <f t="shared" ref="AM33:AM34" si="125">AA33*(1+$G$1)^10</f>
        <v>0</v>
      </c>
      <c r="AN33" s="252">
        <f t="shared" ref="AN33:AN34" si="126">AB33*(1+$G$1)^10</f>
        <v>488076.01597918692</v>
      </c>
      <c r="AO33" s="252">
        <f t="shared" ref="AO33:AO34" si="127">AC33*(1+$G$1)^10</f>
        <v>0</v>
      </c>
      <c r="AP33" s="252">
        <f t="shared" ref="AP33:AP34" si="128">AD33*(1+$G$1)^10</f>
        <v>0</v>
      </c>
      <c r="AQ33" s="252">
        <f t="shared" ref="AQ33:AQ34" si="129">AE33*(1+$G$1)^10</f>
        <v>0</v>
      </c>
      <c r="AY33" s="252">
        <f t="shared" ref="AY33:AY34" si="130">AM33*(1+$G$1)^10</f>
        <v>0</v>
      </c>
      <c r="AZ33" s="252">
        <f t="shared" ref="AZ33:AZ34" si="131">AN33*(1+$G$1)^10</f>
        <v>539139.56613316259</v>
      </c>
      <c r="BA33" s="252">
        <f t="shared" ref="BA33:BA34" si="132">AO33*(1+$G$1)^10</f>
        <v>0</v>
      </c>
      <c r="BB33" s="252">
        <f t="shared" ref="BB33:BB34" si="133">AP33*(1+$G$1)^10</f>
        <v>0</v>
      </c>
      <c r="BC33" s="252">
        <f t="shared" ref="BC33:BC34" si="134">AQ33*(1+$G$1)^10</f>
        <v>0</v>
      </c>
      <c r="BK33" s="252">
        <f t="shared" ref="BK33:BK34" si="135">AY33*(1+$G$1)^10</f>
        <v>0</v>
      </c>
      <c r="BL33" s="252">
        <f t="shared" ref="BL33:BL34" si="136">AZ33*(1+$G$1)^10</f>
        <v>595545.4934352889</v>
      </c>
    </row>
    <row r="34" spans="2:64" ht="12.75" customHeight="1">
      <c r="B34" s="314"/>
      <c r="C34" s="219" t="s">
        <v>159</v>
      </c>
      <c r="D34" s="228" t="s">
        <v>133</v>
      </c>
      <c r="E34" s="220">
        <v>10</v>
      </c>
      <c r="F34" s="219" t="s">
        <v>149</v>
      </c>
      <c r="G34" s="221"/>
      <c r="H34" s="221">
        <v>1</v>
      </c>
      <c r="I34" s="221"/>
      <c r="J34" s="221"/>
      <c r="K34" s="221"/>
      <c r="L34" s="222">
        <v>1</v>
      </c>
      <c r="M34" s="223">
        <v>300000</v>
      </c>
      <c r="N34" s="224">
        <v>0</v>
      </c>
      <c r="O34" s="224">
        <v>300000</v>
      </c>
      <c r="P34" s="224">
        <v>0</v>
      </c>
      <c r="Q34" s="224">
        <v>0</v>
      </c>
      <c r="R34" s="224">
        <v>0</v>
      </c>
      <c r="S34" s="220">
        <v>10</v>
      </c>
      <c r="AA34" s="252">
        <f t="shared" si="120"/>
        <v>0</v>
      </c>
      <c r="AB34" s="252">
        <f t="shared" si="121"/>
        <v>331386.63762336143</v>
      </c>
      <c r="AC34" s="252">
        <f t="shared" si="122"/>
        <v>0</v>
      </c>
      <c r="AD34" s="252">
        <f t="shared" si="123"/>
        <v>0</v>
      </c>
      <c r="AE34" s="252">
        <f t="shared" si="124"/>
        <v>0</v>
      </c>
      <c r="AM34" s="252">
        <f t="shared" si="125"/>
        <v>0</v>
      </c>
      <c r="AN34" s="252">
        <f t="shared" si="126"/>
        <v>366057.01198439021</v>
      </c>
      <c r="AO34" s="252">
        <f t="shared" si="127"/>
        <v>0</v>
      </c>
      <c r="AP34" s="252">
        <f t="shared" si="128"/>
        <v>0</v>
      </c>
      <c r="AQ34" s="252">
        <f t="shared" si="129"/>
        <v>0</v>
      </c>
      <c r="AY34" s="252">
        <f t="shared" si="130"/>
        <v>0</v>
      </c>
      <c r="AZ34" s="252">
        <f t="shared" si="131"/>
        <v>404354.67459987197</v>
      </c>
      <c r="BA34" s="252">
        <f t="shared" si="132"/>
        <v>0</v>
      </c>
      <c r="BB34" s="252">
        <f t="shared" si="133"/>
        <v>0</v>
      </c>
      <c r="BC34" s="252">
        <f t="shared" si="134"/>
        <v>0</v>
      </c>
      <c r="BK34" s="252">
        <f t="shared" si="135"/>
        <v>0</v>
      </c>
      <c r="BL34" s="252">
        <f t="shared" si="136"/>
        <v>446659.12007646664</v>
      </c>
    </row>
    <row r="35" spans="2:64" ht="12.75" customHeight="1" thickBot="1">
      <c r="B35" s="315"/>
      <c r="C35" s="231" t="s">
        <v>160</v>
      </c>
      <c r="D35" s="228" t="s">
        <v>133</v>
      </c>
      <c r="E35" s="230"/>
      <c r="F35" s="231" t="s">
        <v>149</v>
      </c>
      <c r="G35" s="232"/>
      <c r="H35" s="232"/>
      <c r="I35" s="232"/>
      <c r="J35" s="232"/>
      <c r="K35" s="232"/>
      <c r="L35" s="233">
        <v>0</v>
      </c>
      <c r="M35" s="234">
        <v>60000</v>
      </c>
      <c r="N35" s="235">
        <v>0</v>
      </c>
      <c r="O35" s="235">
        <v>0</v>
      </c>
      <c r="P35" s="235">
        <v>0</v>
      </c>
      <c r="Q35" s="235">
        <v>0</v>
      </c>
      <c r="R35" s="235">
        <v>0</v>
      </c>
      <c r="S35" s="230"/>
    </row>
    <row r="37" spans="2:64" ht="12.75" customHeight="1" thickBot="1">
      <c r="B37" s="237" t="s">
        <v>0</v>
      </c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</row>
    <row r="38" spans="2:64" ht="43.5">
      <c r="B38" s="212" t="s">
        <v>113</v>
      </c>
      <c r="C38" s="213" t="s">
        <v>114</v>
      </c>
      <c r="D38" s="213" t="s">
        <v>115</v>
      </c>
      <c r="E38" s="213" t="s">
        <v>116</v>
      </c>
      <c r="F38" s="213" t="s">
        <v>117</v>
      </c>
      <c r="G38" s="214">
        <v>2021</v>
      </c>
      <c r="H38" s="214">
        <v>2022</v>
      </c>
      <c r="I38" s="214">
        <v>2023</v>
      </c>
      <c r="J38" s="214">
        <v>2024</v>
      </c>
      <c r="K38" s="214">
        <v>2025</v>
      </c>
      <c r="L38" s="215" t="s">
        <v>118</v>
      </c>
      <c r="M38" s="216" t="s">
        <v>119</v>
      </c>
      <c r="N38" s="217" t="s">
        <v>120</v>
      </c>
      <c r="O38" s="217" t="s">
        <v>121</v>
      </c>
      <c r="P38" s="217" t="s">
        <v>122</v>
      </c>
      <c r="Q38" s="217" t="s">
        <v>123</v>
      </c>
      <c r="R38" s="218" t="s">
        <v>124</v>
      </c>
      <c r="S38" s="213" t="s">
        <v>116</v>
      </c>
    </row>
    <row r="39" spans="2:64" ht="12.75" customHeight="1">
      <c r="B39" s="311" t="s">
        <v>125</v>
      </c>
      <c r="C39" s="219" t="s">
        <v>126</v>
      </c>
      <c r="D39" s="219"/>
      <c r="E39" s="220"/>
      <c r="F39" s="219" t="s">
        <v>127</v>
      </c>
      <c r="G39" s="221"/>
      <c r="H39" s="221"/>
      <c r="I39" s="221"/>
      <c r="J39" s="221"/>
      <c r="K39" s="221"/>
      <c r="L39" s="222">
        <v>0</v>
      </c>
      <c r="M39" s="223">
        <v>60000</v>
      </c>
      <c r="N39" s="224">
        <v>0</v>
      </c>
      <c r="O39" s="224">
        <v>0</v>
      </c>
      <c r="P39" s="224">
        <v>0</v>
      </c>
      <c r="Q39" s="224">
        <v>0</v>
      </c>
      <c r="R39" s="225">
        <v>0</v>
      </c>
      <c r="S39" s="220"/>
    </row>
    <row r="40" spans="2:64" ht="12.75" customHeight="1">
      <c r="B40" s="311"/>
      <c r="C40" s="219" t="s">
        <v>161</v>
      </c>
      <c r="D40" s="219"/>
      <c r="E40" s="220"/>
      <c r="F40" s="219" t="s">
        <v>130</v>
      </c>
      <c r="G40" s="221"/>
      <c r="H40" s="221"/>
      <c r="I40" s="221"/>
      <c r="J40" s="221"/>
      <c r="K40" s="221"/>
      <c r="L40" s="222">
        <v>0</v>
      </c>
      <c r="M40" s="223">
        <v>500000</v>
      </c>
      <c r="N40" s="224">
        <v>0</v>
      </c>
      <c r="O40" s="224">
        <v>0</v>
      </c>
      <c r="P40" s="224">
        <v>0</v>
      </c>
      <c r="Q40" s="224">
        <v>0</v>
      </c>
      <c r="R40" s="225">
        <v>0</v>
      </c>
      <c r="S40" s="220"/>
    </row>
    <row r="41" spans="2:64" ht="12.75" customHeight="1">
      <c r="B41" s="311"/>
      <c r="C41" s="219" t="s">
        <v>132</v>
      </c>
      <c r="D41" s="219" t="s">
        <v>133</v>
      </c>
      <c r="E41" s="220">
        <v>10</v>
      </c>
      <c r="F41" s="219" t="s">
        <v>127</v>
      </c>
      <c r="G41" s="221">
        <v>15</v>
      </c>
      <c r="H41" s="221">
        <v>15</v>
      </c>
      <c r="I41" s="221">
        <v>15</v>
      </c>
      <c r="J41" s="221">
        <v>15</v>
      </c>
      <c r="K41" s="221">
        <v>15</v>
      </c>
      <c r="L41" s="222">
        <v>75</v>
      </c>
      <c r="M41" s="223">
        <v>15000</v>
      </c>
      <c r="N41" s="224">
        <v>225000</v>
      </c>
      <c r="O41" s="224">
        <v>225000</v>
      </c>
      <c r="P41" s="224">
        <v>225000</v>
      </c>
      <c r="Q41" s="224">
        <v>225000</v>
      </c>
      <c r="R41" s="225">
        <v>225000</v>
      </c>
      <c r="S41" s="220">
        <v>10</v>
      </c>
      <c r="AA41" s="252">
        <f t="shared" ref="AA41:AA48" si="137">N41*(1+$G$1)^10</f>
        <v>248539.97821752107</v>
      </c>
      <c r="AB41" s="252">
        <f t="shared" ref="AB41:AB48" si="138">O41*(1+$G$1)^10</f>
        <v>248539.97821752107</v>
      </c>
      <c r="AC41" s="252">
        <f t="shared" ref="AC41:AC48" si="139">P41*(1+$G$1)^10</f>
        <v>248539.97821752107</v>
      </c>
      <c r="AD41" s="252">
        <f t="shared" ref="AD41:AD48" si="140">Q41*(1+$G$1)^10</f>
        <v>248539.97821752107</v>
      </c>
      <c r="AE41" s="252">
        <f t="shared" ref="AE41:AE48" si="141">R41*(1+$G$1)^10</f>
        <v>248539.97821752107</v>
      </c>
      <c r="AM41" s="252">
        <f t="shared" ref="AM41:AM48" si="142">AA41*(1+$G$1)^10</f>
        <v>274542.75898829265</v>
      </c>
      <c r="AN41" s="252">
        <f t="shared" ref="AN41:AN48" si="143">AB41*(1+$G$1)^10</f>
        <v>274542.75898829265</v>
      </c>
      <c r="AO41" s="252">
        <f t="shared" ref="AO41:AO48" si="144">AC41*(1+$G$1)^10</f>
        <v>274542.75898829265</v>
      </c>
      <c r="AP41" s="252">
        <f t="shared" ref="AP41:AP48" si="145">AD41*(1+$G$1)^10</f>
        <v>274542.75898829265</v>
      </c>
      <c r="AQ41" s="252">
        <f t="shared" ref="AQ41:AQ48" si="146">AE41*(1+$G$1)^10</f>
        <v>274542.75898829265</v>
      </c>
      <c r="AY41" s="252">
        <f t="shared" ref="AY41:AY48" si="147">AM41*(1+$G$1)^10</f>
        <v>303266.00594990398</v>
      </c>
      <c r="AZ41" s="252">
        <f t="shared" ref="AZ41:AZ48" si="148">AN41*(1+$G$1)^10</f>
        <v>303266.00594990398</v>
      </c>
      <c r="BA41" s="252">
        <f t="shared" ref="BA41:BA48" si="149">AO41*(1+$G$1)^10</f>
        <v>303266.00594990398</v>
      </c>
      <c r="BB41" s="252">
        <f t="shared" ref="BB41:BB48" si="150">AP41*(1+$G$1)^10</f>
        <v>303266.00594990398</v>
      </c>
      <c r="BC41" s="252">
        <f t="shared" ref="BC41:BC48" si="151">AQ41*(1+$G$1)^10</f>
        <v>303266.00594990398</v>
      </c>
      <c r="BK41" s="252">
        <f t="shared" ref="BK41:BK48" si="152">AY41*(1+$G$1)^10</f>
        <v>334994.34005735</v>
      </c>
      <c r="BL41" s="252">
        <f t="shared" ref="BL41:BL48" si="153">AZ41*(1+$G$1)^10</f>
        <v>334994.34005735</v>
      </c>
    </row>
    <row r="42" spans="2:64" ht="12.75" customHeight="1">
      <c r="B42" s="311"/>
      <c r="C42" s="219" t="s">
        <v>134</v>
      </c>
      <c r="D42" s="219" t="s">
        <v>133</v>
      </c>
      <c r="E42" s="220">
        <v>10</v>
      </c>
      <c r="F42" s="219" t="s">
        <v>127</v>
      </c>
      <c r="G42" s="221">
        <v>200</v>
      </c>
      <c r="H42" s="221">
        <v>200</v>
      </c>
      <c r="I42" s="221">
        <v>50</v>
      </c>
      <c r="J42" s="221"/>
      <c r="K42" s="221"/>
      <c r="L42" s="222">
        <v>450</v>
      </c>
      <c r="M42" s="223">
        <v>500</v>
      </c>
      <c r="N42" s="224">
        <v>100000</v>
      </c>
      <c r="O42" s="224">
        <v>100000</v>
      </c>
      <c r="P42" s="224">
        <v>25000</v>
      </c>
      <c r="Q42" s="224">
        <v>0</v>
      </c>
      <c r="R42" s="225">
        <v>0</v>
      </c>
      <c r="S42" s="220">
        <v>10</v>
      </c>
      <c r="AA42" s="252">
        <f t="shared" si="137"/>
        <v>110462.21254112048</v>
      </c>
      <c r="AB42" s="252">
        <f t="shared" si="138"/>
        <v>110462.21254112048</v>
      </c>
      <c r="AC42" s="252">
        <f t="shared" si="139"/>
        <v>27615.553135280119</v>
      </c>
      <c r="AD42" s="252">
        <f t="shared" si="140"/>
        <v>0</v>
      </c>
      <c r="AE42" s="252">
        <f t="shared" si="141"/>
        <v>0</v>
      </c>
      <c r="AM42" s="252">
        <f t="shared" si="142"/>
        <v>122019.00399479673</v>
      </c>
      <c r="AN42" s="252">
        <f t="shared" si="143"/>
        <v>122019.00399479673</v>
      </c>
      <c r="AO42" s="252">
        <f t="shared" si="144"/>
        <v>30504.750998699183</v>
      </c>
      <c r="AP42" s="252">
        <f t="shared" si="145"/>
        <v>0</v>
      </c>
      <c r="AQ42" s="252">
        <f t="shared" si="146"/>
        <v>0</v>
      </c>
      <c r="AY42" s="252">
        <f t="shared" si="147"/>
        <v>134784.89153329065</v>
      </c>
      <c r="AZ42" s="252">
        <f t="shared" si="148"/>
        <v>134784.89153329065</v>
      </c>
      <c r="BA42" s="252">
        <f t="shared" si="149"/>
        <v>33696.222883322662</v>
      </c>
      <c r="BB42" s="252">
        <f t="shared" si="150"/>
        <v>0</v>
      </c>
      <c r="BC42" s="252">
        <f t="shared" si="151"/>
        <v>0</v>
      </c>
      <c r="BK42" s="252">
        <f t="shared" si="152"/>
        <v>148886.37335882222</v>
      </c>
      <c r="BL42" s="252">
        <f t="shared" si="153"/>
        <v>148886.37335882222</v>
      </c>
    </row>
    <row r="43" spans="2:64" ht="12.75" customHeight="1">
      <c r="B43" s="311"/>
      <c r="C43" s="219" t="s">
        <v>135</v>
      </c>
      <c r="D43" s="219" t="s">
        <v>133</v>
      </c>
      <c r="E43" s="220">
        <v>10</v>
      </c>
      <c r="F43" s="219" t="s">
        <v>127</v>
      </c>
      <c r="G43" s="221">
        <v>20</v>
      </c>
      <c r="H43" s="221">
        <v>20</v>
      </c>
      <c r="I43" s="221">
        <v>20</v>
      </c>
      <c r="J43" s="221"/>
      <c r="K43" s="221"/>
      <c r="L43" s="222">
        <v>60</v>
      </c>
      <c r="M43" s="223">
        <v>5000</v>
      </c>
      <c r="N43" s="224">
        <v>100000</v>
      </c>
      <c r="O43" s="224">
        <v>100000</v>
      </c>
      <c r="P43" s="224">
        <v>100000</v>
      </c>
      <c r="Q43" s="224">
        <v>0</v>
      </c>
      <c r="R43" s="225">
        <v>0</v>
      </c>
      <c r="S43" s="220">
        <v>10</v>
      </c>
      <c r="AA43" s="252">
        <f t="shared" si="137"/>
        <v>110462.21254112048</v>
      </c>
      <c r="AB43" s="252">
        <f t="shared" si="138"/>
        <v>110462.21254112048</v>
      </c>
      <c r="AC43" s="252">
        <f t="shared" si="139"/>
        <v>110462.21254112048</v>
      </c>
      <c r="AD43" s="252">
        <f t="shared" si="140"/>
        <v>0</v>
      </c>
      <c r="AE43" s="252">
        <f t="shared" si="141"/>
        <v>0</v>
      </c>
      <c r="AM43" s="252">
        <f t="shared" si="142"/>
        <v>122019.00399479673</v>
      </c>
      <c r="AN43" s="252">
        <f t="shared" si="143"/>
        <v>122019.00399479673</v>
      </c>
      <c r="AO43" s="252">
        <f t="shared" si="144"/>
        <v>122019.00399479673</v>
      </c>
      <c r="AP43" s="252">
        <f t="shared" si="145"/>
        <v>0</v>
      </c>
      <c r="AQ43" s="252">
        <f t="shared" si="146"/>
        <v>0</v>
      </c>
      <c r="AY43" s="252">
        <f t="shared" si="147"/>
        <v>134784.89153329065</v>
      </c>
      <c r="AZ43" s="252">
        <f t="shared" si="148"/>
        <v>134784.89153329065</v>
      </c>
      <c r="BA43" s="252">
        <f t="shared" si="149"/>
        <v>134784.89153329065</v>
      </c>
      <c r="BB43" s="252">
        <f t="shared" si="150"/>
        <v>0</v>
      </c>
      <c r="BC43" s="252">
        <f t="shared" si="151"/>
        <v>0</v>
      </c>
      <c r="BK43" s="252">
        <f t="shared" si="152"/>
        <v>148886.37335882222</v>
      </c>
      <c r="BL43" s="252">
        <f t="shared" si="153"/>
        <v>148886.37335882222</v>
      </c>
    </row>
    <row r="44" spans="2:64" ht="12.75" customHeight="1">
      <c r="B44" s="311"/>
      <c r="C44" s="219" t="s">
        <v>136</v>
      </c>
      <c r="D44" s="219" t="s">
        <v>133</v>
      </c>
      <c r="E44" s="220">
        <v>10</v>
      </c>
      <c r="F44" s="219" t="s">
        <v>127</v>
      </c>
      <c r="G44" s="221"/>
      <c r="H44" s="221">
        <v>1</v>
      </c>
      <c r="I44" s="221"/>
      <c r="J44" s="221"/>
      <c r="K44" s="221"/>
      <c r="L44" s="222">
        <v>1</v>
      </c>
      <c r="M44" s="223">
        <v>50000</v>
      </c>
      <c r="N44" s="224">
        <v>0</v>
      </c>
      <c r="O44" s="224">
        <v>50000</v>
      </c>
      <c r="P44" s="224">
        <v>0</v>
      </c>
      <c r="Q44" s="224">
        <v>0</v>
      </c>
      <c r="R44" s="225">
        <v>0</v>
      </c>
      <c r="S44" s="220">
        <v>10</v>
      </c>
      <c r="AA44" s="252">
        <f t="shared" si="137"/>
        <v>0</v>
      </c>
      <c r="AB44" s="252">
        <f t="shared" si="138"/>
        <v>55231.106270560238</v>
      </c>
      <c r="AC44" s="252">
        <f t="shared" si="139"/>
        <v>0</v>
      </c>
      <c r="AD44" s="252">
        <f t="shared" si="140"/>
        <v>0</v>
      </c>
      <c r="AE44" s="252">
        <f t="shared" si="141"/>
        <v>0</v>
      </c>
      <c r="AM44" s="252">
        <f t="shared" si="142"/>
        <v>0</v>
      </c>
      <c r="AN44" s="252">
        <f t="shared" si="143"/>
        <v>61009.501997398365</v>
      </c>
      <c r="AO44" s="252">
        <f t="shared" si="144"/>
        <v>0</v>
      </c>
      <c r="AP44" s="252">
        <f t="shared" si="145"/>
        <v>0</v>
      </c>
      <c r="AQ44" s="252">
        <f t="shared" si="146"/>
        <v>0</v>
      </c>
      <c r="AY44" s="252">
        <f t="shared" si="147"/>
        <v>0</v>
      </c>
      <c r="AZ44" s="252">
        <f t="shared" si="148"/>
        <v>67392.445766645324</v>
      </c>
      <c r="BA44" s="252">
        <f t="shared" si="149"/>
        <v>0</v>
      </c>
      <c r="BB44" s="252">
        <f t="shared" si="150"/>
        <v>0</v>
      </c>
      <c r="BC44" s="252">
        <f t="shared" si="151"/>
        <v>0</v>
      </c>
      <c r="BK44" s="252">
        <f t="shared" si="152"/>
        <v>0</v>
      </c>
      <c r="BL44" s="252">
        <f t="shared" si="153"/>
        <v>74443.186679411112</v>
      </c>
    </row>
    <row r="45" spans="2:64" ht="12.75" customHeight="1">
      <c r="B45" s="311"/>
      <c r="C45" s="219" t="s">
        <v>137</v>
      </c>
      <c r="D45" s="219" t="s">
        <v>133</v>
      </c>
      <c r="E45" s="220">
        <v>10</v>
      </c>
      <c r="F45" s="219" t="s">
        <v>127</v>
      </c>
      <c r="G45" s="221">
        <v>8</v>
      </c>
      <c r="H45" s="221">
        <v>8</v>
      </c>
      <c r="I45" s="221">
        <v>8</v>
      </c>
      <c r="J45" s="221"/>
      <c r="K45" s="221"/>
      <c r="L45" s="222">
        <v>24</v>
      </c>
      <c r="M45" s="223">
        <v>6000</v>
      </c>
      <c r="N45" s="224">
        <v>48000</v>
      </c>
      <c r="O45" s="224">
        <v>48000</v>
      </c>
      <c r="P45" s="224">
        <v>48000</v>
      </c>
      <c r="Q45" s="224">
        <v>0</v>
      </c>
      <c r="R45" s="225">
        <v>0</v>
      </c>
      <c r="S45" s="220">
        <v>10</v>
      </c>
      <c r="AA45" s="252">
        <f t="shared" si="137"/>
        <v>53021.862019737826</v>
      </c>
      <c r="AB45" s="252">
        <f t="shared" si="138"/>
        <v>53021.862019737826</v>
      </c>
      <c r="AC45" s="252">
        <f t="shared" si="139"/>
        <v>53021.862019737826</v>
      </c>
      <c r="AD45" s="252">
        <f t="shared" si="140"/>
        <v>0</v>
      </c>
      <c r="AE45" s="252">
        <f t="shared" si="141"/>
        <v>0</v>
      </c>
      <c r="AM45" s="252">
        <f t="shared" si="142"/>
        <v>58569.121917502431</v>
      </c>
      <c r="AN45" s="252">
        <f t="shared" si="143"/>
        <v>58569.121917502431</v>
      </c>
      <c r="AO45" s="252">
        <f t="shared" si="144"/>
        <v>58569.121917502431</v>
      </c>
      <c r="AP45" s="252">
        <f t="shared" si="145"/>
        <v>0</v>
      </c>
      <c r="AQ45" s="252">
        <f t="shared" si="146"/>
        <v>0</v>
      </c>
      <c r="AY45" s="252">
        <f t="shared" si="147"/>
        <v>64696.747935979511</v>
      </c>
      <c r="AZ45" s="252">
        <f t="shared" si="148"/>
        <v>64696.747935979511</v>
      </c>
      <c r="BA45" s="252">
        <f t="shared" si="149"/>
        <v>64696.747935979511</v>
      </c>
      <c r="BB45" s="252">
        <f t="shared" si="150"/>
        <v>0</v>
      </c>
      <c r="BC45" s="252">
        <f t="shared" si="151"/>
        <v>0</v>
      </c>
      <c r="BK45" s="252">
        <f t="shared" si="152"/>
        <v>71465.459212234666</v>
      </c>
      <c r="BL45" s="252">
        <f t="shared" si="153"/>
        <v>71465.459212234666</v>
      </c>
    </row>
    <row r="46" spans="2:64" ht="12.75" customHeight="1">
      <c r="B46" s="311"/>
      <c r="C46" s="219" t="s">
        <v>138</v>
      </c>
      <c r="D46" s="219" t="s">
        <v>133</v>
      </c>
      <c r="E46" s="220">
        <v>10</v>
      </c>
      <c r="F46" s="219" t="s">
        <v>127</v>
      </c>
      <c r="G46" s="221">
        <v>2</v>
      </c>
      <c r="H46" s="221"/>
      <c r="I46" s="221"/>
      <c r="J46" s="221"/>
      <c r="K46" s="221"/>
      <c r="L46" s="222">
        <v>2</v>
      </c>
      <c r="M46" s="223">
        <v>20000</v>
      </c>
      <c r="N46" s="224">
        <v>40000</v>
      </c>
      <c r="O46" s="224">
        <v>0</v>
      </c>
      <c r="P46" s="224">
        <v>0</v>
      </c>
      <c r="Q46" s="224">
        <v>0</v>
      </c>
      <c r="R46" s="225">
        <v>0</v>
      </c>
      <c r="S46" s="220">
        <v>10</v>
      </c>
      <c r="AA46" s="252">
        <f t="shared" si="137"/>
        <v>44184.885016448192</v>
      </c>
      <c r="AB46" s="252">
        <f t="shared" si="138"/>
        <v>0</v>
      </c>
      <c r="AC46" s="252">
        <f t="shared" si="139"/>
        <v>0</v>
      </c>
      <c r="AD46" s="252">
        <f t="shared" si="140"/>
        <v>0</v>
      </c>
      <c r="AE46" s="252">
        <f t="shared" si="141"/>
        <v>0</v>
      </c>
      <c r="AM46" s="252">
        <f t="shared" si="142"/>
        <v>48807.6015979187</v>
      </c>
      <c r="AN46" s="252">
        <f t="shared" si="143"/>
        <v>0</v>
      </c>
      <c r="AO46" s="252">
        <f t="shared" si="144"/>
        <v>0</v>
      </c>
      <c r="AP46" s="252">
        <f t="shared" si="145"/>
        <v>0</v>
      </c>
      <c r="AQ46" s="252">
        <f t="shared" si="146"/>
        <v>0</v>
      </c>
      <c r="AY46" s="252">
        <f t="shared" si="147"/>
        <v>53913.956613316266</v>
      </c>
      <c r="AZ46" s="252">
        <f t="shared" si="148"/>
        <v>0</v>
      </c>
      <c r="BA46" s="252">
        <f t="shared" si="149"/>
        <v>0</v>
      </c>
      <c r="BB46" s="252">
        <f t="shared" si="150"/>
        <v>0</v>
      </c>
      <c r="BC46" s="252">
        <f t="shared" si="151"/>
        <v>0</v>
      </c>
      <c r="BK46" s="252">
        <f t="shared" si="152"/>
        <v>59554.549343528895</v>
      </c>
      <c r="BL46" s="252">
        <f t="shared" si="153"/>
        <v>0</v>
      </c>
    </row>
    <row r="47" spans="2:64" ht="12.75" customHeight="1">
      <c r="B47" s="311"/>
      <c r="C47" s="219" t="s">
        <v>139</v>
      </c>
      <c r="D47" s="219" t="s">
        <v>133</v>
      </c>
      <c r="E47" s="220">
        <v>10</v>
      </c>
      <c r="F47" s="219" t="s">
        <v>127</v>
      </c>
      <c r="G47" s="221">
        <v>1</v>
      </c>
      <c r="H47" s="221">
        <v>1</v>
      </c>
      <c r="I47" s="221"/>
      <c r="J47" s="221"/>
      <c r="K47" s="221"/>
      <c r="L47" s="222">
        <v>2</v>
      </c>
      <c r="M47" s="223">
        <v>20000</v>
      </c>
      <c r="N47" s="224">
        <v>20000</v>
      </c>
      <c r="O47" s="224">
        <v>20000</v>
      </c>
      <c r="P47" s="224">
        <v>0</v>
      </c>
      <c r="Q47" s="224">
        <v>0</v>
      </c>
      <c r="R47" s="225">
        <v>0</v>
      </c>
      <c r="S47" s="220">
        <v>10</v>
      </c>
      <c r="AA47" s="252">
        <f t="shared" si="137"/>
        <v>22092.442508224096</v>
      </c>
      <c r="AB47" s="252">
        <f t="shared" si="138"/>
        <v>22092.442508224096</v>
      </c>
      <c r="AC47" s="252">
        <f t="shared" si="139"/>
        <v>0</v>
      </c>
      <c r="AD47" s="252">
        <f t="shared" si="140"/>
        <v>0</v>
      </c>
      <c r="AE47" s="252">
        <f t="shared" si="141"/>
        <v>0</v>
      </c>
      <c r="AM47" s="252">
        <f t="shared" si="142"/>
        <v>24403.80079895935</v>
      </c>
      <c r="AN47" s="252">
        <f t="shared" si="143"/>
        <v>24403.80079895935</v>
      </c>
      <c r="AO47" s="252">
        <f t="shared" si="144"/>
        <v>0</v>
      </c>
      <c r="AP47" s="252">
        <f t="shared" si="145"/>
        <v>0</v>
      </c>
      <c r="AQ47" s="252">
        <f t="shared" si="146"/>
        <v>0</v>
      </c>
      <c r="AY47" s="252">
        <f t="shared" si="147"/>
        <v>26956.978306658133</v>
      </c>
      <c r="AZ47" s="252">
        <f t="shared" si="148"/>
        <v>26956.978306658133</v>
      </c>
      <c r="BA47" s="252">
        <f t="shared" si="149"/>
        <v>0</v>
      </c>
      <c r="BB47" s="252">
        <f t="shared" si="150"/>
        <v>0</v>
      </c>
      <c r="BC47" s="252">
        <f t="shared" si="151"/>
        <v>0</v>
      </c>
      <c r="BK47" s="252">
        <f t="shared" si="152"/>
        <v>29777.274671764448</v>
      </c>
      <c r="BL47" s="252">
        <f t="shared" si="153"/>
        <v>29777.274671764448</v>
      </c>
    </row>
    <row r="48" spans="2:64" ht="12.75" customHeight="1">
      <c r="B48" s="311"/>
      <c r="C48" s="219" t="s">
        <v>140</v>
      </c>
      <c r="D48" s="219" t="s">
        <v>133</v>
      </c>
      <c r="E48" s="220">
        <v>10</v>
      </c>
      <c r="F48" s="219" t="s">
        <v>127</v>
      </c>
      <c r="G48" s="221"/>
      <c r="H48" s="221">
        <v>1</v>
      </c>
      <c r="I48" s="221"/>
      <c r="J48" s="221"/>
      <c r="K48" s="221"/>
      <c r="L48" s="222">
        <v>1</v>
      </c>
      <c r="M48" s="223">
        <v>10000</v>
      </c>
      <c r="N48" s="224">
        <v>0</v>
      </c>
      <c r="O48" s="224">
        <v>10000</v>
      </c>
      <c r="P48" s="224">
        <v>0</v>
      </c>
      <c r="Q48" s="224">
        <v>0</v>
      </c>
      <c r="R48" s="225">
        <v>0</v>
      </c>
      <c r="S48" s="220">
        <v>10</v>
      </c>
      <c r="AA48" s="252">
        <f t="shared" si="137"/>
        <v>0</v>
      </c>
      <c r="AB48" s="252">
        <f t="shared" si="138"/>
        <v>11046.221254112048</v>
      </c>
      <c r="AC48" s="252">
        <f t="shared" si="139"/>
        <v>0</v>
      </c>
      <c r="AD48" s="252">
        <f t="shared" si="140"/>
        <v>0</v>
      </c>
      <c r="AE48" s="252">
        <f t="shared" si="141"/>
        <v>0</v>
      </c>
      <c r="AM48" s="252">
        <f t="shared" si="142"/>
        <v>0</v>
      </c>
      <c r="AN48" s="252">
        <f t="shared" si="143"/>
        <v>12201.900399479675</v>
      </c>
      <c r="AO48" s="252">
        <f t="shared" si="144"/>
        <v>0</v>
      </c>
      <c r="AP48" s="252">
        <f t="shared" si="145"/>
        <v>0</v>
      </c>
      <c r="AQ48" s="252">
        <f t="shared" si="146"/>
        <v>0</v>
      </c>
      <c r="AY48" s="252">
        <f t="shared" si="147"/>
        <v>0</v>
      </c>
      <c r="AZ48" s="252">
        <f t="shared" si="148"/>
        <v>13478.489153329067</v>
      </c>
      <c r="BA48" s="252">
        <f t="shared" si="149"/>
        <v>0</v>
      </c>
      <c r="BB48" s="252">
        <f t="shared" si="150"/>
        <v>0</v>
      </c>
      <c r="BC48" s="252">
        <f t="shared" si="151"/>
        <v>0</v>
      </c>
      <c r="BK48" s="252">
        <f t="shared" si="152"/>
        <v>0</v>
      </c>
      <c r="BL48" s="252">
        <f t="shared" si="153"/>
        <v>14888.637335882224</v>
      </c>
    </row>
    <row r="49" spans="2:64" ht="12.75" customHeight="1">
      <c r="B49" s="311"/>
      <c r="C49" s="226" t="s">
        <v>162</v>
      </c>
      <c r="D49" s="219" t="s">
        <v>133</v>
      </c>
      <c r="E49" s="220">
        <v>5</v>
      </c>
      <c r="F49" s="219" t="s">
        <v>127</v>
      </c>
      <c r="G49" s="221"/>
      <c r="H49" s="221">
        <v>1</v>
      </c>
      <c r="I49" s="221"/>
      <c r="J49" s="221"/>
      <c r="K49" s="221"/>
      <c r="L49" s="222">
        <v>1</v>
      </c>
      <c r="M49" s="223">
        <v>10000</v>
      </c>
      <c r="N49" s="224">
        <v>0</v>
      </c>
      <c r="O49" s="224">
        <v>10000</v>
      </c>
      <c r="P49" s="224">
        <v>0</v>
      </c>
      <c r="Q49" s="224">
        <v>0</v>
      </c>
      <c r="R49" s="225">
        <v>0</v>
      </c>
      <c r="S49" s="220">
        <v>5</v>
      </c>
      <c r="U49" s="252">
        <f>N49*(1+$G$1)^5</f>
        <v>0</v>
      </c>
      <c r="V49" s="252">
        <f t="shared" ref="V49" si="154">O49*(1+$G$1)^5</f>
        <v>10510.100500999999</v>
      </c>
      <c r="W49" s="252">
        <f t="shared" ref="W49" si="155">P49*(1+$G$1)^5</f>
        <v>0</v>
      </c>
      <c r="X49" s="252">
        <f t="shared" ref="X49" si="156">Q49*(1+$G$1)^5</f>
        <v>0</v>
      </c>
      <c r="Y49" s="252">
        <f t="shared" ref="Y49" si="157">R49*(1+$G$1)^5</f>
        <v>0</v>
      </c>
      <c r="Z49" s="252">
        <f>U49*(1+$G$1)^5</f>
        <v>0</v>
      </c>
      <c r="AA49" s="252">
        <f t="shared" ref="AA49" si="158">T49*(1+$G$1)^5</f>
        <v>0</v>
      </c>
      <c r="AB49" s="252">
        <f t="shared" ref="AB49" si="159">U49*(1+$G$1)^5</f>
        <v>0</v>
      </c>
      <c r="AC49" s="252">
        <f t="shared" ref="AC49" si="160">V49*(1+$G$1)^5</f>
        <v>11046.221254112043</v>
      </c>
      <c r="AD49" s="252">
        <f t="shared" ref="AD49" si="161">W49*(1+$G$1)^5</f>
        <v>0</v>
      </c>
      <c r="AE49" s="252">
        <f>Z49*(1+$G$1)^5</f>
        <v>0</v>
      </c>
      <c r="AF49" s="252">
        <f t="shared" ref="AF49" si="162">Y49*(1+$G$1)^5</f>
        <v>0</v>
      </c>
      <c r="AG49" s="252">
        <f t="shared" ref="AG49" si="163">Z49*(1+$G$1)^5</f>
        <v>0</v>
      </c>
      <c r="AH49" s="252">
        <f t="shared" ref="AH49" si="164">AA49*(1+$G$1)^5</f>
        <v>0</v>
      </c>
      <c r="AI49" s="252">
        <f t="shared" ref="AI49" si="165">AB49*(1+$G$1)^5</f>
        <v>0</v>
      </c>
      <c r="AJ49" s="252">
        <f>AE49*(1+$G$1)^5</f>
        <v>0</v>
      </c>
      <c r="AK49" s="252">
        <f t="shared" ref="AK49" si="166">AD49*(1+$G$1)^5</f>
        <v>0</v>
      </c>
      <c r="AL49" s="252">
        <f t="shared" ref="AL49" si="167">AE49*(1+$G$1)^5</f>
        <v>0</v>
      </c>
      <c r="AM49" s="252">
        <f t="shared" ref="AM49" si="168">AF49*(1+$G$1)^5</f>
        <v>0</v>
      </c>
      <c r="AN49" s="252">
        <f t="shared" ref="AN49" si="169">AG49*(1+$G$1)^5</f>
        <v>0</v>
      </c>
      <c r="AO49" s="252">
        <f>AJ49*(1+$G$1)^5</f>
        <v>0</v>
      </c>
      <c r="AP49" s="252">
        <f t="shared" ref="AP49" si="170">AI49*(1+$G$1)^5</f>
        <v>0</v>
      </c>
      <c r="AQ49" s="252">
        <f t="shared" ref="AQ49" si="171">AJ49*(1+$G$1)^5</f>
        <v>0</v>
      </c>
      <c r="AR49" s="252">
        <f t="shared" ref="AR49" si="172">AK49*(1+$G$1)^5</f>
        <v>0</v>
      </c>
      <c r="AS49" s="252">
        <f t="shared" ref="AS49" si="173">AL49*(1+$G$1)^5</f>
        <v>0</v>
      </c>
      <c r="AT49" s="252">
        <f>AO49*(1+$G$1)^5</f>
        <v>0</v>
      </c>
      <c r="AU49" s="252">
        <f t="shared" ref="AU49" si="174">AN49*(1+$G$1)^5</f>
        <v>0</v>
      </c>
      <c r="AV49" s="252">
        <f t="shared" ref="AV49" si="175">AO49*(1+$G$1)^5</f>
        <v>0</v>
      </c>
      <c r="AW49" s="252">
        <f t="shared" ref="AW49" si="176">AP49*(1+$G$1)^5</f>
        <v>0</v>
      </c>
      <c r="AX49" s="252">
        <f t="shared" ref="AX49" si="177">AQ49*(1+$G$1)^5</f>
        <v>0</v>
      </c>
      <c r="AY49" s="252">
        <f>AT49*(1+$G$1)^5</f>
        <v>0</v>
      </c>
      <c r="AZ49" s="252">
        <f t="shared" ref="AZ49" si="178">AS49*(1+$G$1)^5</f>
        <v>0</v>
      </c>
      <c r="BA49" s="252">
        <f t="shared" ref="BA49" si="179">AT49*(1+$G$1)^5</f>
        <v>0</v>
      </c>
      <c r="BB49" s="252">
        <f t="shared" ref="BB49" si="180">AU49*(1+$G$1)^5</f>
        <v>0</v>
      </c>
      <c r="BC49" s="252">
        <f t="shared" ref="BC49" si="181">AV49*(1+$G$1)^5</f>
        <v>0</v>
      </c>
      <c r="BD49" s="252">
        <f>AY49*(1+$G$1)^5</f>
        <v>0</v>
      </c>
      <c r="BE49" s="252">
        <f t="shared" ref="BE49" si="182">AX49*(1+$G$1)^5</f>
        <v>0</v>
      </c>
      <c r="BF49" s="252">
        <f t="shared" ref="BF49" si="183">AY49*(1+$G$1)^5</f>
        <v>0</v>
      </c>
      <c r="BG49" s="252">
        <f t="shared" ref="BG49" si="184">AZ49*(1+$G$1)^5</f>
        <v>0</v>
      </c>
      <c r="BH49" s="252">
        <f t="shared" ref="BH49" si="185">BA49*(1+$G$1)^5</f>
        <v>0</v>
      </c>
      <c r="BI49" s="252">
        <f>BD49*(1+$G$1)^5</f>
        <v>0</v>
      </c>
      <c r="BJ49" s="252">
        <f t="shared" ref="BJ49" si="186">BC49*(1+$G$1)^5</f>
        <v>0</v>
      </c>
      <c r="BK49" s="252">
        <f t="shared" ref="BK49" si="187">BD49*(1+$G$1)^5</f>
        <v>0</v>
      </c>
      <c r="BL49" s="252">
        <f t="shared" ref="BL49" si="188">BE49*(1+$G$1)^5</f>
        <v>0</v>
      </c>
    </row>
    <row r="50" spans="2:64" ht="12.75" customHeight="1">
      <c r="B50" s="311"/>
      <c r="C50" s="219" t="s">
        <v>163</v>
      </c>
      <c r="D50" s="219" t="s">
        <v>133</v>
      </c>
      <c r="E50" s="220"/>
      <c r="F50" s="219" t="s">
        <v>127</v>
      </c>
      <c r="G50" s="221"/>
      <c r="H50" s="221"/>
      <c r="I50" s="221"/>
      <c r="J50" s="221"/>
      <c r="K50" s="221"/>
      <c r="L50" s="222">
        <v>0</v>
      </c>
      <c r="M50" s="223">
        <v>36000</v>
      </c>
      <c r="N50" s="224">
        <v>0</v>
      </c>
      <c r="O50" s="224">
        <v>0</v>
      </c>
      <c r="P50" s="224">
        <v>0</v>
      </c>
      <c r="Q50" s="224">
        <v>0</v>
      </c>
      <c r="R50" s="225">
        <v>0</v>
      </c>
      <c r="S50" s="220"/>
    </row>
    <row r="51" spans="2:64" ht="12.75" customHeight="1">
      <c r="B51" s="311"/>
      <c r="C51" s="219" t="s">
        <v>164</v>
      </c>
      <c r="D51" s="219"/>
      <c r="E51" s="220"/>
      <c r="F51" s="219" t="s">
        <v>127</v>
      </c>
      <c r="G51" s="221"/>
      <c r="H51" s="221"/>
      <c r="I51" s="221"/>
      <c r="J51" s="221"/>
      <c r="K51" s="221"/>
      <c r="L51" s="222">
        <v>0</v>
      </c>
      <c r="M51" s="223">
        <v>420000</v>
      </c>
      <c r="N51" s="224">
        <v>0</v>
      </c>
      <c r="O51" s="224">
        <v>0</v>
      </c>
      <c r="P51" s="224">
        <v>0</v>
      </c>
      <c r="Q51" s="224">
        <v>0</v>
      </c>
      <c r="R51" s="225">
        <v>0</v>
      </c>
      <c r="S51" s="220"/>
    </row>
    <row r="52" spans="2:64" ht="12.75" customHeight="1">
      <c r="B52" s="311"/>
      <c r="C52" s="219" t="s">
        <v>165</v>
      </c>
      <c r="D52" s="219" t="s">
        <v>133</v>
      </c>
      <c r="E52" s="220"/>
      <c r="F52" s="219" t="s">
        <v>127</v>
      </c>
      <c r="G52" s="221"/>
      <c r="H52" s="221"/>
      <c r="I52" s="221"/>
      <c r="J52" s="221"/>
      <c r="K52" s="221"/>
      <c r="L52" s="222">
        <v>0</v>
      </c>
      <c r="M52" s="223">
        <v>480000</v>
      </c>
      <c r="N52" s="224">
        <v>0</v>
      </c>
      <c r="O52" s="224">
        <v>0</v>
      </c>
      <c r="P52" s="224">
        <v>0</v>
      </c>
      <c r="Q52" s="224">
        <v>0</v>
      </c>
      <c r="R52" s="225">
        <v>0</v>
      </c>
      <c r="S52" s="220"/>
    </row>
    <row r="53" spans="2:64" ht="12.75" customHeight="1">
      <c r="B53" s="311"/>
      <c r="C53" s="219" t="s">
        <v>144</v>
      </c>
      <c r="D53" s="219" t="s">
        <v>133</v>
      </c>
      <c r="E53" s="220">
        <v>15</v>
      </c>
      <c r="F53" s="219" t="s">
        <v>127</v>
      </c>
      <c r="G53" s="221"/>
      <c r="H53" s="221">
        <v>1</v>
      </c>
      <c r="I53" s="221"/>
      <c r="J53" s="221"/>
      <c r="K53" s="221"/>
      <c r="L53" s="222">
        <v>1</v>
      </c>
      <c r="M53" s="223">
        <v>240000</v>
      </c>
      <c r="N53" s="224">
        <v>0</v>
      </c>
      <c r="O53" s="224">
        <v>240000</v>
      </c>
      <c r="P53" s="224">
        <v>0</v>
      </c>
      <c r="Q53" s="224">
        <v>0</v>
      </c>
      <c r="R53" s="225">
        <v>0</v>
      </c>
      <c r="S53" s="220">
        <v>15</v>
      </c>
      <c r="AA53" s="250"/>
      <c r="AB53" s="250"/>
      <c r="AC53" s="250"/>
      <c r="AD53" s="250"/>
      <c r="AE53" s="252">
        <f>N53*(1+$G$1)^15</f>
        <v>0</v>
      </c>
      <c r="AF53" s="252">
        <f t="shared" ref="AF53" si="189">O53*(1+$G$1)^15</f>
        <v>278632.54928879964</v>
      </c>
      <c r="AG53" s="252">
        <f t="shared" ref="AG53" si="190">P53*(1+$G$1)^15</f>
        <v>0</v>
      </c>
      <c r="AH53" s="252">
        <f t="shared" ref="AH53" si="191">Q53*(1+$G$1)^15</f>
        <v>0</v>
      </c>
      <c r="AI53" s="252">
        <f t="shared" ref="AI53" si="192">R53*(1+$G$1)^15</f>
        <v>0</v>
      </c>
      <c r="AU53" s="258">
        <f>AE53*(1+$G$1)</f>
        <v>0</v>
      </c>
      <c r="AV53" s="258">
        <f t="shared" ref="AV53" si="193">AF53*(1+$G$1)</f>
        <v>281418.87478168763</v>
      </c>
      <c r="AW53" s="258">
        <f t="shared" ref="AW53" si="194">AG53*(1+$G$1)</f>
        <v>0</v>
      </c>
      <c r="AX53" s="258">
        <f t="shared" ref="AX53" si="195">AH53*(1+$G$1)</f>
        <v>0</v>
      </c>
      <c r="AY53" s="258">
        <f t="shared" ref="AY53" si="196">AI53*(1+$G$1)</f>
        <v>0</v>
      </c>
      <c r="BK53" s="258">
        <f>AU53*(1+$G$1)^15</f>
        <v>0</v>
      </c>
      <c r="BL53" s="258">
        <f t="shared" ref="BL53" si="197">AV53*(1+$G$1)^15</f>
        <v>326718.57707669627</v>
      </c>
    </row>
    <row r="54" spans="2:64" ht="12.75" customHeight="1">
      <c r="B54" s="311"/>
      <c r="C54" s="219" t="s">
        <v>145</v>
      </c>
      <c r="D54" s="219" t="s">
        <v>133</v>
      </c>
      <c r="E54" s="220">
        <v>20</v>
      </c>
      <c r="F54" s="219" t="s">
        <v>127</v>
      </c>
      <c r="G54" s="221"/>
      <c r="H54" s="221">
        <v>1</v>
      </c>
      <c r="I54" s="221"/>
      <c r="J54" s="221"/>
      <c r="K54" s="221"/>
      <c r="L54" s="222">
        <v>1</v>
      </c>
      <c r="M54" s="223">
        <v>2500000</v>
      </c>
      <c r="N54" s="224">
        <v>0</v>
      </c>
      <c r="O54" s="224">
        <v>2500000</v>
      </c>
      <c r="P54" s="224">
        <v>0</v>
      </c>
      <c r="Q54" s="224">
        <v>0</v>
      </c>
      <c r="R54" s="225">
        <v>0</v>
      </c>
      <c r="S54" s="220">
        <v>20</v>
      </c>
      <c r="AA54" s="250"/>
      <c r="AB54" s="250"/>
      <c r="AC54" s="250"/>
      <c r="AD54" s="250"/>
      <c r="AE54" s="250"/>
      <c r="AJ54" s="256">
        <f>N54*(1+$G$1)^20</f>
        <v>0</v>
      </c>
      <c r="AK54" s="256">
        <f t="shared" ref="AK54" si="198">O54*(1+$G$1)^20</f>
        <v>3050475.0998699176</v>
      </c>
      <c r="AL54" s="256">
        <f t="shared" ref="AL54" si="199">P54*(1+$G$1)^20</f>
        <v>0</v>
      </c>
      <c r="AM54" s="256">
        <f t="shared" ref="AM54" si="200">Q54*(1+$G$1)^20</f>
        <v>0</v>
      </c>
      <c r="AN54" s="256">
        <f t="shared" ref="AN54" si="201">R54*(1+$G$1)^20</f>
        <v>0</v>
      </c>
      <c r="AO54" s="257"/>
      <c r="BD54" s="256">
        <f>AJ54*(1+$G$1)^20</f>
        <v>0</v>
      </c>
      <c r="BE54" s="256">
        <f t="shared" ref="BE54" si="202">AK54</f>
        <v>3050475.0998699176</v>
      </c>
      <c r="BF54" s="256">
        <f t="shared" ref="BF54" si="203">AL54</f>
        <v>0</v>
      </c>
      <c r="BG54" s="256">
        <f t="shared" ref="BG54" si="204">AM54</f>
        <v>0</v>
      </c>
      <c r="BH54" s="256">
        <f t="shared" ref="BH54" si="205">AN54</f>
        <v>0</v>
      </c>
    </row>
    <row r="55" spans="2:64" ht="12.75" customHeight="1" thickBot="1">
      <c r="B55" s="312"/>
      <c r="C55" s="231" t="s">
        <v>166</v>
      </c>
      <c r="D55" s="219" t="s">
        <v>133</v>
      </c>
      <c r="E55" s="230">
        <v>30</v>
      </c>
      <c r="F55" s="231" t="s">
        <v>130</v>
      </c>
      <c r="G55" s="232">
        <v>0</v>
      </c>
      <c r="H55" s="232">
        <v>1</v>
      </c>
      <c r="I55" s="232">
        <v>0</v>
      </c>
      <c r="J55" s="232">
        <v>0</v>
      </c>
      <c r="K55" s="232">
        <v>0</v>
      </c>
      <c r="L55" s="233">
        <v>1</v>
      </c>
      <c r="M55" s="234">
        <v>500000</v>
      </c>
      <c r="N55" s="235">
        <v>0</v>
      </c>
      <c r="O55" s="235">
        <v>500000</v>
      </c>
      <c r="P55" s="235">
        <v>0</v>
      </c>
      <c r="Q55" s="235">
        <v>0</v>
      </c>
      <c r="R55" s="236">
        <v>0</v>
      </c>
      <c r="S55" s="230">
        <v>30</v>
      </c>
      <c r="AX55" s="252">
        <f>N55*(1+$G$1)^(AX$4-$N$4)</f>
        <v>0</v>
      </c>
      <c r="AY55" s="252">
        <f>O55*(1+$G$1)^(AY$4-$N$4)</f>
        <v>715384.39179579052</v>
      </c>
      <c r="AZ55" s="252">
        <f t="shared" ref="AZ55" si="206">P55*(1+$G$1)^(AZ$4-$N$4)</f>
        <v>0</v>
      </c>
      <c r="BA55" s="252">
        <f t="shared" ref="BA55" si="207">Q55*(1+$G$1)^(BA$4-$N$4)</f>
        <v>0</v>
      </c>
      <c r="BB55" s="252">
        <f t="shared" ref="BB55" si="208">R55*(1+$G$1)^(BB$4-$N$4)</f>
        <v>0</v>
      </c>
    </row>
    <row r="56" spans="2:64" ht="12.75" customHeight="1" thickBot="1"/>
    <row r="57" spans="2:64" ht="12.75" customHeight="1">
      <c r="B57" s="212" t="s">
        <v>113</v>
      </c>
      <c r="C57" s="213" t="s">
        <v>114</v>
      </c>
      <c r="D57" s="213" t="s">
        <v>115</v>
      </c>
      <c r="E57" s="213" t="s">
        <v>116</v>
      </c>
      <c r="F57" s="213" t="s">
        <v>117</v>
      </c>
      <c r="G57" s="214">
        <v>2021</v>
      </c>
      <c r="H57" s="214">
        <v>2022</v>
      </c>
      <c r="I57" s="214">
        <v>2023</v>
      </c>
      <c r="J57" s="214">
        <v>2024</v>
      </c>
      <c r="K57" s="214">
        <v>2025</v>
      </c>
      <c r="L57" s="215" t="s">
        <v>118</v>
      </c>
      <c r="M57" s="216" t="s">
        <v>119</v>
      </c>
      <c r="N57" s="217" t="s">
        <v>120</v>
      </c>
      <c r="O57" s="217" t="s">
        <v>121</v>
      </c>
      <c r="P57" s="217" t="s">
        <v>122</v>
      </c>
      <c r="Q57" s="217" t="s">
        <v>123</v>
      </c>
      <c r="R57" s="217" t="s">
        <v>124</v>
      </c>
      <c r="S57" s="213" t="s">
        <v>116</v>
      </c>
    </row>
    <row r="58" spans="2:64" ht="12.75" customHeight="1">
      <c r="B58" s="313" t="s">
        <v>147</v>
      </c>
      <c r="C58" s="219" t="s">
        <v>148</v>
      </c>
      <c r="D58" s="219" t="s">
        <v>133</v>
      </c>
      <c r="E58" s="220">
        <v>10</v>
      </c>
      <c r="F58" s="219" t="s">
        <v>149</v>
      </c>
      <c r="G58" s="221">
        <v>1</v>
      </c>
      <c r="H58" s="221"/>
      <c r="I58" s="221"/>
      <c r="J58" s="221"/>
      <c r="K58" s="221"/>
      <c r="L58" s="222">
        <v>1</v>
      </c>
      <c r="M58" s="223">
        <v>300000</v>
      </c>
      <c r="N58" s="224">
        <v>300000</v>
      </c>
      <c r="O58" s="224">
        <v>0</v>
      </c>
      <c r="P58" s="224">
        <v>0</v>
      </c>
      <c r="Q58" s="224">
        <v>0</v>
      </c>
      <c r="R58" s="224">
        <v>0</v>
      </c>
      <c r="S58" s="220">
        <v>10</v>
      </c>
      <c r="AA58" s="252">
        <f t="shared" ref="AA58:AA62" si="209">N58*(1+$G$1)^10</f>
        <v>331386.63762336143</v>
      </c>
      <c r="AB58" s="252">
        <f t="shared" ref="AB58:AB62" si="210">O58*(1+$G$1)^10</f>
        <v>0</v>
      </c>
      <c r="AC58" s="252">
        <f t="shared" ref="AC58:AC62" si="211">P58*(1+$G$1)^10</f>
        <v>0</v>
      </c>
      <c r="AD58" s="252">
        <f t="shared" ref="AD58:AD62" si="212">Q58*(1+$G$1)^10</f>
        <v>0</v>
      </c>
      <c r="AE58" s="252">
        <f t="shared" ref="AE58:AE62" si="213">R58*(1+$G$1)^10</f>
        <v>0</v>
      </c>
      <c r="AM58" s="252">
        <f t="shared" ref="AM58:AM62" si="214">AA58*(1+$G$1)^10</f>
        <v>366057.01198439021</v>
      </c>
      <c r="AN58" s="252">
        <f t="shared" ref="AN58:AN62" si="215">AB58*(1+$G$1)^10</f>
        <v>0</v>
      </c>
      <c r="AO58" s="252">
        <f t="shared" ref="AO58:AO62" si="216">AC58*(1+$G$1)^10</f>
        <v>0</v>
      </c>
      <c r="AP58" s="252">
        <f t="shared" ref="AP58:AP62" si="217">AD58*(1+$G$1)^10</f>
        <v>0</v>
      </c>
      <c r="AQ58" s="252">
        <f t="shared" ref="AQ58:AQ62" si="218">AE58*(1+$G$1)^10</f>
        <v>0</v>
      </c>
      <c r="AY58" s="252">
        <f t="shared" ref="AY58:AY62" si="219">AM58*(1+$G$1)^10</f>
        <v>404354.67459987197</v>
      </c>
      <c r="AZ58" s="252">
        <f t="shared" ref="AZ58:AZ62" si="220">AN58*(1+$G$1)^10</f>
        <v>0</v>
      </c>
      <c r="BA58" s="252">
        <f t="shared" ref="BA58:BA62" si="221">AO58*(1+$G$1)^10</f>
        <v>0</v>
      </c>
      <c r="BB58" s="252">
        <f t="shared" ref="BB58:BB62" si="222">AP58*(1+$G$1)^10</f>
        <v>0</v>
      </c>
      <c r="BC58" s="252">
        <f t="shared" ref="BC58:BC62" si="223">AQ58*(1+$G$1)^10</f>
        <v>0</v>
      </c>
      <c r="BK58" s="252">
        <f t="shared" ref="BK58:BK62" si="224">AY58*(1+$G$1)^10</f>
        <v>446659.12007646664</v>
      </c>
      <c r="BL58" s="252">
        <f t="shared" ref="BL58:BL62" si="225">AZ58*(1+$G$1)^10</f>
        <v>0</v>
      </c>
    </row>
    <row r="59" spans="2:64" ht="12.75" customHeight="1">
      <c r="B59" s="314"/>
      <c r="C59" s="219" t="s">
        <v>150</v>
      </c>
      <c r="D59" s="219" t="s">
        <v>133</v>
      </c>
      <c r="E59" s="220">
        <v>10</v>
      </c>
      <c r="F59" s="219" t="s">
        <v>127</v>
      </c>
      <c r="G59" s="221">
        <v>1</v>
      </c>
      <c r="H59" s="221"/>
      <c r="I59" s="221"/>
      <c r="J59" s="221"/>
      <c r="K59" s="221"/>
      <c r="L59" s="222">
        <v>1</v>
      </c>
      <c r="M59" s="223">
        <v>300000</v>
      </c>
      <c r="N59" s="224">
        <v>300000</v>
      </c>
      <c r="O59" s="224">
        <v>0</v>
      </c>
      <c r="P59" s="224">
        <v>0</v>
      </c>
      <c r="Q59" s="224">
        <v>0</v>
      </c>
      <c r="R59" s="224">
        <v>0</v>
      </c>
      <c r="S59" s="220">
        <v>10</v>
      </c>
      <c r="AA59" s="252">
        <f t="shared" si="209"/>
        <v>331386.63762336143</v>
      </c>
      <c r="AB59" s="252">
        <f t="shared" si="210"/>
        <v>0</v>
      </c>
      <c r="AC59" s="252">
        <f t="shared" si="211"/>
        <v>0</v>
      </c>
      <c r="AD59" s="252">
        <f t="shared" si="212"/>
        <v>0</v>
      </c>
      <c r="AE59" s="252">
        <f t="shared" si="213"/>
        <v>0</v>
      </c>
      <c r="AM59" s="252">
        <f t="shared" si="214"/>
        <v>366057.01198439021</v>
      </c>
      <c r="AN59" s="252">
        <f t="shared" si="215"/>
        <v>0</v>
      </c>
      <c r="AO59" s="252">
        <f t="shared" si="216"/>
        <v>0</v>
      </c>
      <c r="AP59" s="252">
        <f t="shared" si="217"/>
        <v>0</v>
      </c>
      <c r="AQ59" s="252">
        <f t="shared" si="218"/>
        <v>0</v>
      </c>
      <c r="AY59" s="252">
        <f t="shared" si="219"/>
        <v>404354.67459987197</v>
      </c>
      <c r="AZ59" s="252">
        <f t="shared" si="220"/>
        <v>0</v>
      </c>
      <c r="BA59" s="252">
        <f t="shared" si="221"/>
        <v>0</v>
      </c>
      <c r="BB59" s="252">
        <f t="shared" si="222"/>
        <v>0</v>
      </c>
      <c r="BC59" s="252">
        <f t="shared" si="223"/>
        <v>0</v>
      </c>
      <c r="BK59" s="252">
        <f t="shared" si="224"/>
        <v>446659.12007646664</v>
      </c>
      <c r="BL59" s="252">
        <f t="shared" si="225"/>
        <v>0</v>
      </c>
    </row>
    <row r="60" spans="2:64" ht="12.75" customHeight="1">
      <c r="B60" s="314"/>
      <c r="C60" s="219" t="s">
        <v>151</v>
      </c>
      <c r="D60" s="219" t="s">
        <v>133</v>
      </c>
      <c r="E60" s="220">
        <v>10</v>
      </c>
      <c r="F60" s="219" t="s">
        <v>127</v>
      </c>
      <c r="G60" s="221">
        <v>1</v>
      </c>
      <c r="H60" s="221"/>
      <c r="I60" s="221"/>
      <c r="J60" s="221"/>
      <c r="K60" s="221"/>
      <c r="L60" s="222">
        <v>1</v>
      </c>
      <c r="M60" s="223">
        <v>200000</v>
      </c>
      <c r="N60" s="224">
        <v>200000</v>
      </c>
      <c r="O60" s="224">
        <v>0</v>
      </c>
      <c r="P60" s="224">
        <v>0</v>
      </c>
      <c r="Q60" s="224">
        <v>0</v>
      </c>
      <c r="R60" s="224">
        <v>0</v>
      </c>
      <c r="S60" s="220">
        <v>10</v>
      </c>
      <c r="AA60" s="252">
        <f t="shared" si="209"/>
        <v>220924.42508224095</v>
      </c>
      <c r="AB60" s="252">
        <f t="shared" si="210"/>
        <v>0</v>
      </c>
      <c r="AC60" s="252">
        <f t="shared" si="211"/>
        <v>0</v>
      </c>
      <c r="AD60" s="252">
        <f t="shared" si="212"/>
        <v>0</v>
      </c>
      <c r="AE60" s="252">
        <f t="shared" si="213"/>
        <v>0</v>
      </c>
      <c r="AM60" s="252">
        <f t="shared" si="214"/>
        <v>244038.00798959346</v>
      </c>
      <c r="AN60" s="252">
        <f t="shared" si="215"/>
        <v>0</v>
      </c>
      <c r="AO60" s="252">
        <f t="shared" si="216"/>
        <v>0</v>
      </c>
      <c r="AP60" s="252">
        <f t="shared" si="217"/>
        <v>0</v>
      </c>
      <c r="AQ60" s="252">
        <f t="shared" si="218"/>
        <v>0</v>
      </c>
      <c r="AY60" s="252">
        <f t="shared" si="219"/>
        <v>269569.78306658129</v>
      </c>
      <c r="AZ60" s="252">
        <f t="shared" si="220"/>
        <v>0</v>
      </c>
      <c r="BA60" s="252">
        <f t="shared" si="221"/>
        <v>0</v>
      </c>
      <c r="BB60" s="252">
        <f t="shared" si="222"/>
        <v>0</v>
      </c>
      <c r="BC60" s="252">
        <f t="shared" si="223"/>
        <v>0</v>
      </c>
      <c r="BK60" s="252">
        <f t="shared" si="224"/>
        <v>297772.74671764445</v>
      </c>
      <c r="BL60" s="252">
        <f t="shared" si="225"/>
        <v>0</v>
      </c>
    </row>
    <row r="61" spans="2:64" ht="12.75" customHeight="1">
      <c r="B61" s="314"/>
      <c r="C61" s="219" t="s">
        <v>152</v>
      </c>
      <c r="D61" s="219" t="s">
        <v>133</v>
      </c>
      <c r="E61" s="220">
        <v>10</v>
      </c>
      <c r="F61" s="219" t="s">
        <v>127</v>
      </c>
      <c r="G61" s="221"/>
      <c r="H61" s="221">
        <v>1</v>
      </c>
      <c r="I61" s="221"/>
      <c r="J61" s="221"/>
      <c r="K61" s="221"/>
      <c r="L61" s="222">
        <v>1</v>
      </c>
      <c r="M61" s="223">
        <v>300000</v>
      </c>
      <c r="N61" s="224">
        <v>0</v>
      </c>
      <c r="O61" s="224">
        <v>300000</v>
      </c>
      <c r="P61" s="224">
        <v>0</v>
      </c>
      <c r="Q61" s="224">
        <v>0</v>
      </c>
      <c r="R61" s="224">
        <v>0</v>
      </c>
      <c r="S61" s="220">
        <v>10</v>
      </c>
      <c r="AA61" s="252">
        <f t="shared" si="209"/>
        <v>0</v>
      </c>
      <c r="AB61" s="252">
        <f t="shared" si="210"/>
        <v>331386.63762336143</v>
      </c>
      <c r="AC61" s="252">
        <f t="shared" si="211"/>
        <v>0</v>
      </c>
      <c r="AD61" s="252">
        <f t="shared" si="212"/>
        <v>0</v>
      </c>
      <c r="AE61" s="252">
        <f t="shared" si="213"/>
        <v>0</v>
      </c>
      <c r="AM61" s="252">
        <f t="shared" si="214"/>
        <v>0</v>
      </c>
      <c r="AN61" s="252">
        <f t="shared" si="215"/>
        <v>366057.01198439021</v>
      </c>
      <c r="AO61" s="252">
        <f t="shared" si="216"/>
        <v>0</v>
      </c>
      <c r="AP61" s="252">
        <f t="shared" si="217"/>
        <v>0</v>
      </c>
      <c r="AQ61" s="252">
        <f t="shared" si="218"/>
        <v>0</v>
      </c>
      <c r="AY61" s="252">
        <f t="shared" si="219"/>
        <v>0</v>
      </c>
      <c r="AZ61" s="252">
        <f t="shared" si="220"/>
        <v>404354.67459987197</v>
      </c>
      <c r="BA61" s="252">
        <f t="shared" si="221"/>
        <v>0</v>
      </c>
      <c r="BB61" s="252">
        <f t="shared" si="222"/>
        <v>0</v>
      </c>
      <c r="BC61" s="252">
        <f t="shared" si="223"/>
        <v>0</v>
      </c>
      <c r="BK61" s="252">
        <f t="shared" si="224"/>
        <v>0</v>
      </c>
      <c r="BL61" s="252">
        <f t="shared" si="225"/>
        <v>446659.12007646664</v>
      </c>
    </row>
    <row r="62" spans="2:64" ht="12.75" customHeight="1">
      <c r="B62" s="314"/>
      <c r="C62" s="219" t="s">
        <v>153</v>
      </c>
      <c r="D62" s="219" t="s">
        <v>133</v>
      </c>
      <c r="E62" s="220">
        <v>10</v>
      </c>
      <c r="F62" s="219" t="s">
        <v>149</v>
      </c>
      <c r="G62" s="221"/>
      <c r="H62" s="221">
        <v>2</v>
      </c>
      <c r="I62" s="221"/>
      <c r="J62" s="221"/>
      <c r="K62" s="221"/>
      <c r="L62" s="222">
        <v>2</v>
      </c>
      <c r="M62" s="223">
        <v>150000</v>
      </c>
      <c r="N62" s="224">
        <v>0</v>
      </c>
      <c r="O62" s="224">
        <v>300000</v>
      </c>
      <c r="P62" s="224">
        <v>0</v>
      </c>
      <c r="Q62" s="224">
        <v>0</v>
      </c>
      <c r="R62" s="224">
        <v>0</v>
      </c>
      <c r="S62" s="220">
        <v>10</v>
      </c>
      <c r="AA62" s="252">
        <f t="shared" si="209"/>
        <v>0</v>
      </c>
      <c r="AB62" s="252">
        <f t="shared" si="210"/>
        <v>331386.63762336143</v>
      </c>
      <c r="AC62" s="252">
        <f t="shared" si="211"/>
        <v>0</v>
      </c>
      <c r="AD62" s="252">
        <f t="shared" si="212"/>
        <v>0</v>
      </c>
      <c r="AE62" s="252">
        <f t="shared" si="213"/>
        <v>0</v>
      </c>
      <c r="AM62" s="252">
        <f t="shared" si="214"/>
        <v>0</v>
      </c>
      <c r="AN62" s="252">
        <f t="shared" si="215"/>
        <v>366057.01198439021</v>
      </c>
      <c r="AO62" s="252">
        <f t="shared" si="216"/>
        <v>0</v>
      </c>
      <c r="AP62" s="252">
        <f t="shared" si="217"/>
        <v>0</v>
      </c>
      <c r="AQ62" s="252">
        <f t="shared" si="218"/>
        <v>0</v>
      </c>
      <c r="AY62" s="252">
        <f t="shared" si="219"/>
        <v>0</v>
      </c>
      <c r="AZ62" s="252">
        <f t="shared" si="220"/>
        <v>404354.67459987197</v>
      </c>
      <c r="BA62" s="252">
        <f t="shared" si="221"/>
        <v>0</v>
      </c>
      <c r="BB62" s="252">
        <f t="shared" si="222"/>
        <v>0</v>
      </c>
      <c r="BC62" s="252">
        <f t="shared" si="223"/>
        <v>0</v>
      </c>
      <c r="BK62" s="252">
        <f t="shared" si="224"/>
        <v>0</v>
      </c>
      <c r="BL62" s="252">
        <f t="shared" si="225"/>
        <v>446659.12007646664</v>
      </c>
    </row>
    <row r="63" spans="2:64" ht="12.75" customHeight="1">
      <c r="B63" s="314"/>
      <c r="C63" s="219" t="s">
        <v>154</v>
      </c>
      <c r="D63" s="219" t="s">
        <v>133</v>
      </c>
      <c r="E63" s="220"/>
      <c r="F63" s="219" t="s">
        <v>149</v>
      </c>
      <c r="G63" s="221"/>
      <c r="H63" s="221"/>
      <c r="I63" s="221"/>
      <c r="J63" s="221"/>
      <c r="K63" s="221"/>
      <c r="L63" s="222">
        <v>0</v>
      </c>
      <c r="M63" s="223">
        <v>360000</v>
      </c>
      <c r="N63" s="224">
        <v>0</v>
      </c>
      <c r="O63" s="224">
        <v>0</v>
      </c>
      <c r="P63" s="224">
        <v>0</v>
      </c>
      <c r="Q63" s="224">
        <v>0</v>
      </c>
      <c r="R63" s="224">
        <v>0</v>
      </c>
      <c r="S63" s="220"/>
    </row>
    <row r="64" spans="2:64" ht="12.75" customHeight="1">
      <c r="B64" s="314"/>
      <c r="C64" s="219" t="s">
        <v>155</v>
      </c>
      <c r="D64" s="219" t="s">
        <v>133</v>
      </c>
      <c r="E64" s="220">
        <v>10</v>
      </c>
      <c r="F64" s="219" t="s">
        <v>149</v>
      </c>
      <c r="G64" s="221"/>
      <c r="H64" s="221">
        <v>1</v>
      </c>
      <c r="I64" s="221"/>
      <c r="J64" s="221"/>
      <c r="K64" s="221"/>
      <c r="L64" s="222">
        <v>1</v>
      </c>
      <c r="M64" s="223">
        <v>600000</v>
      </c>
      <c r="N64" s="224">
        <v>0</v>
      </c>
      <c r="O64" s="224">
        <v>600000</v>
      </c>
      <c r="P64" s="224">
        <v>0</v>
      </c>
      <c r="Q64" s="224">
        <v>0</v>
      </c>
      <c r="R64" s="224">
        <v>0</v>
      </c>
      <c r="S64" s="220">
        <v>10</v>
      </c>
      <c r="AA64" s="252">
        <f t="shared" ref="AA64:AA65" si="226">N64*(1+$G$1)^10</f>
        <v>0</v>
      </c>
      <c r="AB64" s="252">
        <f t="shared" ref="AB64:AB65" si="227">O64*(1+$G$1)^10</f>
        <v>662773.27524672286</v>
      </c>
      <c r="AC64" s="252">
        <f t="shared" ref="AC64:AC65" si="228">P64*(1+$G$1)^10</f>
        <v>0</v>
      </c>
      <c r="AD64" s="252">
        <f t="shared" ref="AD64:AD65" si="229">Q64*(1+$G$1)^10</f>
        <v>0</v>
      </c>
      <c r="AE64" s="252">
        <f t="shared" ref="AE64:AE65" si="230">R64*(1+$G$1)^10</f>
        <v>0</v>
      </c>
      <c r="AM64" s="252">
        <f t="shared" ref="AM64:AM65" si="231">AA64*(1+$G$1)^10</f>
        <v>0</v>
      </c>
      <c r="AN64" s="252">
        <f t="shared" ref="AN64:AN65" si="232">AB64*(1+$G$1)^10</f>
        <v>732114.02396878041</v>
      </c>
      <c r="AO64" s="252">
        <f t="shared" ref="AO64:AO65" si="233">AC64*(1+$G$1)^10</f>
        <v>0</v>
      </c>
      <c r="AP64" s="252">
        <f t="shared" ref="AP64:AP65" si="234">AD64*(1+$G$1)^10</f>
        <v>0</v>
      </c>
      <c r="AQ64" s="252">
        <f t="shared" ref="AQ64:AQ65" si="235">AE64*(1+$G$1)^10</f>
        <v>0</v>
      </c>
      <c r="AY64" s="252">
        <f t="shared" ref="AY64:AY65" si="236">AM64*(1+$G$1)^10</f>
        <v>0</v>
      </c>
      <c r="AZ64" s="252">
        <f t="shared" ref="AZ64:AZ65" si="237">AN64*(1+$G$1)^10</f>
        <v>808709.34919974394</v>
      </c>
      <c r="BA64" s="252">
        <f t="shared" ref="BA64:BA65" si="238">AO64*(1+$G$1)^10</f>
        <v>0</v>
      </c>
      <c r="BB64" s="252">
        <f t="shared" ref="BB64:BB65" si="239">AP64*(1+$G$1)^10</f>
        <v>0</v>
      </c>
      <c r="BC64" s="252">
        <f t="shared" ref="BC64:BC65" si="240">AQ64*(1+$G$1)^10</f>
        <v>0</v>
      </c>
      <c r="BK64" s="252">
        <f t="shared" ref="BK64:BK65" si="241">AY64*(1+$G$1)^10</f>
        <v>0</v>
      </c>
      <c r="BL64" s="252">
        <f t="shared" ref="BL64:BL65" si="242">AZ64*(1+$G$1)^10</f>
        <v>893318.24015293329</v>
      </c>
    </row>
    <row r="65" spans="2:64" ht="12.75" customHeight="1">
      <c r="B65" s="314"/>
      <c r="C65" s="219" t="s">
        <v>156</v>
      </c>
      <c r="D65" s="219" t="s">
        <v>133</v>
      </c>
      <c r="E65" s="220">
        <v>10</v>
      </c>
      <c r="F65" s="219" t="s">
        <v>149</v>
      </c>
      <c r="G65" s="221"/>
      <c r="H65" s="221">
        <v>0.75</v>
      </c>
      <c r="I65" s="221">
        <v>0.25</v>
      </c>
      <c r="J65" s="221"/>
      <c r="K65" s="221"/>
      <c r="L65" s="222">
        <v>1</v>
      </c>
      <c r="M65" s="223">
        <v>600000</v>
      </c>
      <c r="N65" s="224">
        <v>0</v>
      </c>
      <c r="O65" s="224">
        <v>450000</v>
      </c>
      <c r="P65" s="224">
        <v>150000</v>
      </c>
      <c r="Q65" s="224">
        <v>0</v>
      </c>
      <c r="R65" s="224">
        <v>0</v>
      </c>
      <c r="S65" s="220">
        <v>10</v>
      </c>
      <c r="AA65" s="252">
        <f t="shared" si="226"/>
        <v>0</v>
      </c>
      <c r="AB65" s="252">
        <f t="shared" si="227"/>
        <v>497079.95643504214</v>
      </c>
      <c r="AC65" s="252">
        <f t="shared" si="228"/>
        <v>165693.31881168071</v>
      </c>
      <c r="AD65" s="252">
        <f t="shared" si="229"/>
        <v>0</v>
      </c>
      <c r="AE65" s="252">
        <f t="shared" si="230"/>
        <v>0</v>
      </c>
      <c r="AM65" s="252">
        <f t="shared" si="231"/>
        <v>0</v>
      </c>
      <c r="AN65" s="252">
        <f t="shared" si="232"/>
        <v>549085.51797658531</v>
      </c>
      <c r="AO65" s="252">
        <f t="shared" si="233"/>
        <v>183028.5059921951</v>
      </c>
      <c r="AP65" s="252">
        <f t="shared" si="234"/>
        <v>0</v>
      </c>
      <c r="AQ65" s="252">
        <f t="shared" si="235"/>
        <v>0</v>
      </c>
      <c r="AY65" s="252">
        <f t="shared" si="236"/>
        <v>0</v>
      </c>
      <c r="AZ65" s="252">
        <f t="shared" si="237"/>
        <v>606532.01189980796</v>
      </c>
      <c r="BA65" s="252">
        <f t="shared" si="238"/>
        <v>202177.33729993599</v>
      </c>
      <c r="BB65" s="252">
        <f t="shared" si="239"/>
        <v>0</v>
      </c>
      <c r="BC65" s="252">
        <f t="shared" si="240"/>
        <v>0</v>
      </c>
      <c r="BK65" s="252">
        <f t="shared" si="241"/>
        <v>0</v>
      </c>
      <c r="BL65" s="252">
        <f t="shared" si="242"/>
        <v>669988.68011469999</v>
      </c>
    </row>
    <row r="66" spans="2:64" ht="12.75" customHeight="1">
      <c r="B66" s="314"/>
      <c r="C66" s="219" t="s">
        <v>157</v>
      </c>
      <c r="D66" s="219" t="s">
        <v>133</v>
      </c>
      <c r="E66" s="220"/>
      <c r="F66" s="219" t="s">
        <v>127</v>
      </c>
      <c r="G66" s="221"/>
      <c r="H66" s="221"/>
      <c r="I66" s="221"/>
      <c r="J66" s="221"/>
      <c r="K66" s="221"/>
      <c r="L66" s="222">
        <v>0</v>
      </c>
      <c r="M66" s="223">
        <v>72000</v>
      </c>
      <c r="N66" s="224">
        <v>0</v>
      </c>
      <c r="O66" s="224">
        <v>0</v>
      </c>
      <c r="P66" s="224">
        <v>0</v>
      </c>
      <c r="Q66" s="224">
        <v>0</v>
      </c>
      <c r="R66" s="224">
        <v>0</v>
      </c>
      <c r="S66" s="220"/>
    </row>
    <row r="67" spans="2:64" ht="12.75" customHeight="1">
      <c r="B67" s="314"/>
      <c r="C67" s="219" t="s">
        <v>158</v>
      </c>
      <c r="D67" s="219" t="s">
        <v>133</v>
      </c>
      <c r="E67" s="220"/>
      <c r="F67" s="219" t="s">
        <v>149</v>
      </c>
      <c r="G67" s="221"/>
      <c r="H67" s="221"/>
      <c r="I67" s="221"/>
      <c r="J67" s="221"/>
      <c r="K67" s="221"/>
      <c r="L67" s="222">
        <v>0</v>
      </c>
      <c r="M67" s="223">
        <v>380000</v>
      </c>
      <c r="N67" s="224">
        <v>0</v>
      </c>
      <c r="O67" s="224">
        <v>0</v>
      </c>
      <c r="P67" s="224">
        <v>0</v>
      </c>
      <c r="Q67" s="224">
        <v>0</v>
      </c>
      <c r="R67" s="224">
        <v>0</v>
      </c>
      <c r="S67" s="220"/>
    </row>
    <row r="68" spans="2:64" ht="12.75" customHeight="1">
      <c r="B68" s="314"/>
      <c r="C68" s="219" t="s">
        <v>159</v>
      </c>
      <c r="D68" s="219" t="s">
        <v>133</v>
      </c>
      <c r="E68" s="220">
        <v>10</v>
      </c>
      <c r="F68" s="219" t="s">
        <v>149</v>
      </c>
      <c r="G68" s="221"/>
      <c r="H68" s="221">
        <v>1</v>
      </c>
      <c r="I68" s="221"/>
      <c r="J68" s="221"/>
      <c r="K68" s="221"/>
      <c r="L68" s="222">
        <v>1</v>
      </c>
      <c r="M68" s="223">
        <v>300000</v>
      </c>
      <c r="N68" s="224">
        <v>0</v>
      </c>
      <c r="O68" s="224">
        <v>300000</v>
      </c>
      <c r="P68" s="224">
        <v>0</v>
      </c>
      <c r="Q68" s="224">
        <v>0</v>
      </c>
      <c r="R68" s="224">
        <v>0</v>
      </c>
      <c r="S68" s="220">
        <v>10</v>
      </c>
      <c r="AA68" s="252">
        <f>N68*(1+$G$1)^10</f>
        <v>0</v>
      </c>
      <c r="AB68" s="252">
        <f t="shared" ref="AB68" si="243">O68*(1+$G$1)^10</f>
        <v>331386.63762336143</v>
      </c>
      <c r="AC68" s="252">
        <f>P68*(1+$G$1)^10</f>
        <v>0</v>
      </c>
      <c r="AD68" s="252">
        <f t="shared" ref="AD68" si="244">Q68*(1+$G$1)^10</f>
        <v>0</v>
      </c>
      <c r="AE68" s="252">
        <f t="shared" ref="AE68" si="245">R68*(1+$G$1)^10</f>
        <v>0</v>
      </c>
      <c r="AM68" s="252">
        <f>AA68*(1+$G$1)^10</f>
        <v>0</v>
      </c>
      <c r="AN68" s="252">
        <f t="shared" ref="AN68" si="246">AB68*(1+$G$1)^10</f>
        <v>366057.01198439021</v>
      </c>
      <c r="AO68" s="252">
        <f t="shared" ref="AO68" si="247">AC68*(1+$G$1)^10</f>
        <v>0</v>
      </c>
      <c r="AP68" s="252">
        <f t="shared" ref="AP68" si="248">AD68*(1+$G$1)^10</f>
        <v>0</v>
      </c>
      <c r="AQ68" s="252">
        <f t="shared" ref="AQ68" si="249">AE68*(1+$G$1)^10</f>
        <v>0</v>
      </c>
      <c r="AY68" s="252">
        <f>AM68*(1+$G$1)^10</f>
        <v>0</v>
      </c>
      <c r="AZ68" s="252">
        <f t="shared" ref="AZ68" si="250">AN68*(1+$G$1)^10</f>
        <v>404354.67459987197</v>
      </c>
      <c r="BA68" s="252">
        <f t="shared" ref="BA68" si="251">AO68*(1+$G$1)^10</f>
        <v>0</v>
      </c>
      <c r="BB68" s="252">
        <f t="shared" ref="BB68" si="252">AP68*(1+$G$1)^10</f>
        <v>0</v>
      </c>
      <c r="BC68" s="252">
        <f t="shared" ref="BC68" si="253">AQ68*(1+$G$1)^10</f>
        <v>0</v>
      </c>
      <c r="BK68" s="252">
        <f>AY68*(1+$G$1)^10</f>
        <v>0</v>
      </c>
      <c r="BL68" s="252">
        <f t="shared" ref="BL68" si="254">AZ68*(1+$G$1)^10</f>
        <v>446659.12007646664</v>
      </c>
    </row>
    <row r="69" spans="2:64" ht="12.75" customHeight="1" thickBot="1">
      <c r="B69" s="315"/>
      <c r="C69" s="231" t="s">
        <v>167</v>
      </c>
      <c r="D69" s="219" t="s">
        <v>133</v>
      </c>
      <c r="E69" s="230"/>
      <c r="F69" s="231" t="s">
        <v>149</v>
      </c>
      <c r="G69" s="232"/>
      <c r="H69" s="232"/>
      <c r="I69" s="232"/>
      <c r="J69" s="232"/>
      <c r="K69" s="232"/>
      <c r="L69" s="233">
        <v>0</v>
      </c>
      <c r="M69" s="234">
        <v>150000</v>
      </c>
      <c r="N69" s="235">
        <v>0</v>
      </c>
      <c r="O69" s="235">
        <v>0</v>
      </c>
      <c r="P69" s="235">
        <v>0</v>
      </c>
      <c r="Q69" s="235">
        <v>0</v>
      </c>
      <c r="R69" s="235">
        <v>0</v>
      </c>
      <c r="S69" s="230"/>
    </row>
    <row r="71" spans="2:64" ht="12.75" customHeight="1" thickBot="1">
      <c r="B71" s="237" t="s">
        <v>2</v>
      </c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</row>
    <row r="72" spans="2:64" ht="12.75" customHeight="1">
      <c r="B72" s="212" t="s">
        <v>113</v>
      </c>
      <c r="C72" s="213" t="s">
        <v>114</v>
      </c>
      <c r="D72" s="213" t="s">
        <v>115</v>
      </c>
      <c r="E72" s="213" t="s">
        <v>116</v>
      </c>
      <c r="F72" s="213" t="s">
        <v>117</v>
      </c>
      <c r="G72" s="214">
        <v>2021</v>
      </c>
      <c r="H72" s="214">
        <v>2022</v>
      </c>
      <c r="I72" s="214">
        <v>2023</v>
      </c>
      <c r="J72" s="214">
        <v>2024</v>
      </c>
      <c r="K72" s="214">
        <v>2025</v>
      </c>
      <c r="L72" s="215" t="s">
        <v>118</v>
      </c>
      <c r="M72" s="216" t="s">
        <v>119</v>
      </c>
      <c r="N72" s="217" t="s">
        <v>120</v>
      </c>
      <c r="O72" s="217" t="s">
        <v>121</v>
      </c>
      <c r="P72" s="217" t="s">
        <v>122</v>
      </c>
      <c r="Q72" s="217" t="s">
        <v>123</v>
      </c>
      <c r="R72" s="218" t="s">
        <v>124</v>
      </c>
      <c r="S72" s="213" t="s">
        <v>116</v>
      </c>
    </row>
    <row r="73" spans="2:64" ht="12.75" customHeight="1">
      <c r="B73" s="311" t="s">
        <v>125</v>
      </c>
      <c r="C73" s="219" t="s">
        <v>168</v>
      </c>
      <c r="D73" s="219"/>
      <c r="E73" s="220"/>
      <c r="F73" s="219" t="s">
        <v>127</v>
      </c>
      <c r="G73" s="221"/>
      <c r="H73" s="221"/>
      <c r="I73" s="221"/>
      <c r="J73" s="221"/>
      <c r="K73" s="221"/>
      <c r="L73" s="222">
        <v>0</v>
      </c>
      <c r="M73" s="223">
        <v>60000</v>
      </c>
      <c r="N73" s="224">
        <v>0</v>
      </c>
      <c r="O73" s="224">
        <v>0</v>
      </c>
      <c r="P73" s="224">
        <v>0</v>
      </c>
      <c r="Q73" s="224">
        <v>0</v>
      </c>
      <c r="R73" s="225">
        <v>0</v>
      </c>
      <c r="S73" s="220"/>
    </row>
    <row r="74" spans="2:64" ht="12.75" customHeight="1">
      <c r="B74" s="311"/>
      <c r="C74" s="219" t="s">
        <v>169</v>
      </c>
      <c r="D74" s="219" t="s">
        <v>170</v>
      </c>
      <c r="E74" s="220">
        <v>30</v>
      </c>
      <c r="F74" s="219" t="s">
        <v>130</v>
      </c>
      <c r="G74" s="221">
        <v>0.5</v>
      </c>
      <c r="H74" s="221">
        <v>0.5</v>
      </c>
      <c r="I74" s="221"/>
      <c r="J74" s="221"/>
      <c r="K74" s="221"/>
      <c r="L74" s="222">
        <v>1</v>
      </c>
      <c r="M74" s="223">
        <v>1000000</v>
      </c>
      <c r="N74" s="224">
        <v>500000</v>
      </c>
      <c r="O74" s="224">
        <v>500000</v>
      </c>
      <c r="P74" s="224">
        <v>0</v>
      </c>
      <c r="Q74" s="224">
        <v>0</v>
      </c>
      <c r="R74" s="225">
        <v>0</v>
      </c>
      <c r="S74" s="220">
        <v>30</v>
      </c>
      <c r="AA74" s="252">
        <f t="shared" ref="AA74:AA82" si="255">N74*(1+$G$1)^10</f>
        <v>552311.06270560238</v>
      </c>
      <c r="AB74" s="252">
        <f t="shared" ref="AB74:AB82" si="256">O74*(1+$G$1)^10</f>
        <v>552311.06270560238</v>
      </c>
      <c r="AC74" s="252">
        <f t="shared" ref="AC74:AC82" si="257">P74*(1+$G$1)^10</f>
        <v>0</v>
      </c>
      <c r="AD74" s="252">
        <f t="shared" ref="AD74:AD82" si="258">Q74*(1+$G$1)^10</f>
        <v>0</v>
      </c>
      <c r="AE74" s="252">
        <f t="shared" ref="AE74:AE82" si="259">R74*(1+$G$1)^10</f>
        <v>0</v>
      </c>
      <c r="AM74" s="252">
        <f t="shared" ref="AM74" si="260">AA74</f>
        <v>552311.06270560238</v>
      </c>
      <c r="AN74" s="252">
        <f t="shared" ref="AN74" si="261">AB74</f>
        <v>552311.06270560238</v>
      </c>
      <c r="AO74" s="252">
        <f t="shared" ref="AO74" si="262">AC74</f>
        <v>0</v>
      </c>
      <c r="AP74" s="252">
        <f t="shared" ref="AP74" si="263">AD74</f>
        <v>0</v>
      </c>
      <c r="AQ74" s="252">
        <f t="shared" ref="AQ74" si="264">AE74</f>
        <v>0</v>
      </c>
      <c r="AY74" s="252">
        <f t="shared" ref="AY74" si="265">AA74</f>
        <v>552311.06270560238</v>
      </c>
      <c r="AZ74" s="252">
        <f t="shared" ref="AZ74" si="266">AB74</f>
        <v>552311.06270560238</v>
      </c>
      <c r="BA74" s="252">
        <f t="shared" ref="BA74" si="267">AC74</f>
        <v>0</v>
      </c>
      <c r="BB74" s="252">
        <f t="shared" ref="BB74" si="268">AD74</f>
        <v>0</v>
      </c>
      <c r="BC74" s="252">
        <f t="shared" ref="BC74" si="269">AE74</f>
        <v>0</v>
      </c>
      <c r="BK74" s="252">
        <f t="shared" ref="BK74" si="270">AA74</f>
        <v>552311.06270560238</v>
      </c>
      <c r="BL74" s="252">
        <f t="shared" ref="BL74" si="271">AB74</f>
        <v>552311.06270560238</v>
      </c>
    </row>
    <row r="75" spans="2:64" ht="12.75" customHeight="1">
      <c r="B75" s="311"/>
      <c r="C75" s="219" t="s">
        <v>132</v>
      </c>
      <c r="D75" s="219" t="s">
        <v>133</v>
      </c>
      <c r="E75" s="220">
        <v>10</v>
      </c>
      <c r="F75" s="219" t="s">
        <v>127</v>
      </c>
      <c r="G75" s="221">
        <v>5</v>
      </c>
      <c r="H75" s="221">
        <v>5</v>
      </c>
      <c r="I75" s="221">
        <v>5</v>
      </c>
      <c r="J75" s="221">
        <v>5</v>
      </c>
      <c r="K75" s="221">
        <v>5</v>
      </c>
      <c r="L75" s="222">
        <v>25</v>
      </c>
      <c r="M75" s="223">
        <v>15000</v>
      </c>
      <c r="N75" s="224">
        <v>75000</v>
      </c>
      <c r="O75" s="224">
        <v>75000</v>
      </c>
      <c r="P75" s="224">
        <v>75000</v>
      </c>
      <c r="Q75" s="224">
        <v>75000</v>
      </c>
      <c r="R75" s="225">
        <v>75000</v>
      </c>
      <c r="S75" s="220">
        <v>10</v>
      </c>
      <c r="AA75" s="252">
        <f t="shared" si="255"/>
        <v>82846.659405840357</v>
      </c>
      <c r="AB75" s="252">
        <f t="shared" si="256"/>
        <v>82846.659405840357</v>
      </c>
      <c r="AC75" s="252">
        <f t="shared" si="257"/>
        <v>82846.659405840357</v>
      </c>
      <c r="AD75" s="252">
        <f t="shared" si="258"/>
        <v>82846.659405840357</v>
      </c>
      <c r="AE75" s="252">
        <f t="shared" si="259"/>
        <v>82846.659405840357</v>
      </c>
      <c r="AM75" s="252">
        <f t="shared" ref="AM75:AM82" si="272">AA75*(1+$G$1)^10</f>
        <v>91514.252996097552</v>
      </c>
      <c r="AN75" s="252">
        <f t="shared" ref="AN75:AN82" si="273">AB75*(1+$G$1)^10</f>
        <v>91514.252996097552</v>
      </c>
      <c r="AO75" s="252">
        <f t="shared" ref="AO75:AO82" si="274">AC75*(1+$G$1)^10</f>
        <v>91514.252996097552</v>
      </c>
      <c r="AP75" s="252">
        <f t="shared" ref="AP75:AP82" si="275">AD75*(1+$G$1)^10</f>
        <v>91514.252996097552</v>
      </c>
      <c r="AQ75" s="252">
        <f t="shared" ref="AQ75:AQ82" si="276">AE75*(1+$G$1)^10</f>
        <v>91514.252996097552</v>
      </c>
      <c r="AY75" s="252">
        <f t="shared" ref="AY75:AY82" si="277">AM75*(1+$G$1)^10</f>
        <v>101088.66864996799</v>
      </c>
      <c r="AZ75" s="252">
        <f t="shared" ref="AZ75:AZ82" si="278">AN75*(1+$G$1)^10</f>
        <v>101088.66864996799</v>
      </c>
      <c r="BA75" s="252">
        <f t="shared" ref="BA75:BA82" si="279">AO75*(1+$G$1)^10</f>
        <v>101088.66864996799</v>
      </c>
      <c r="BB75" s="252">
        <f t="shared" ref="BB75:BB82" si="280">AP75*(1+$G$1)^10</f>
        <v>101088.66864996799</v>
      </c>
      <c r="BC75" s="252">
        <f t="shared" ref="BC75:BC82" si="281">AQ75*(1+$G$1)^10</f>
        <v>101088.66864996799</v>
      </c>
      <c r="BK75" s="252">
        <f t="shared" ref="BK75:BK82" si="282">AY75*(1+$G$1)^10</f>
        <v>111664.78001911666</v>
      </c>
      <c r="BL75" s="252">
        <f t="shared" ref="BL75:BL82" si="283">AZ75*(1+$G$1)^10</f>
        <v>111664.78001911666</v>
      </c>
    </row>
    <row r="76" spans="2:64" ht="12.75" customHeight="1">
      <c r="B76" s="311"/>
      <c r="C76" s="219" t="s">
        <v>134</v>
      </c>
      <c r="D76" s="219" t="s">
        <v>133</v>
      </c>
      <c r="E76" s="220">
        <v>10</v>
      </c>
      <c r="F76" s="219" t="s">
        <v>127</v>
      </c>
      <c r="G76" s="221">
        <v>25</v>
      </c>
      <c r="H76" s="221">
        <v>25</v>
      </c>
      <c r="I76" s="221">
        <v>25</v>
      </c>
      <c r="J76" s="221"/>
      <c r="K76" s="221"/>
      <c r="L76" s="222">
        <v>75</v>
      </c>
      <c r="M76" s="223">
        <v>500</v>
      </c>
      <c r="N76" s="224">
        <v>12500</v>
      </c>
      <c r="O76" s="224">
        <v>12500</v>
      </c>
      <c r="P76" s="224">
        <v>12500</v>
      </c>
      <c r="Q76" s="224">
        <v>0</v>
      </c>
      <c r="R76" s="225">
        <v>0</v>
      </c>
      <c r="S76" s="220">
        <v>10</v>
      </c>
      <c r="AA76" s="252">
        <f t="shared" si="255"/>
        <v>13807.77656764006</v>
      </c>
      <c r="AB76" s="252">
        <f t="shared" si="256"/>
        <v>13807.77656764006</v>
      </c>
      <c r="AC76" s="252">
        <f t="shared" si="257"/>
        <v>13807.77656764006</v>
      </c>
      <c r="AD76" s="252">
        <f t="shared" si="258"/>
        <v>0</v>
      </c>
      <c r="AE76" s="252">
        <f t="shared" si="259"/>
        <v>0</v>
      </c>
      <c r="AM76" s="252">
        <f t="shared" si="272"/>
        <v>15252.375499349591</v>
      </c>
      <c r="AN76" s="252">
        <f t="shared" si="273"/>
        <v>15252.375499349591</v>
      </c>
      <c r="AO76" s="252">
        <f t="shared" si="274"/>
        <v>15252.375499349591</v>
      </c>
      <c r="AP76" s="252">
        <f t="shared" si="275"/>
        <v>0</v>
      </c>
      <c r="AQ76" s="252">
        <f t="shared" si="276"/>
        <v>0</v>
      </c>
      <c r="AY76" s="252">
        <f t="shared" si="277"/>
        <v>16848.111441661331</v>
      </c>
      <c r="AZ76" s="252">
        <f t="shared" si="278"/>
        <v>16848.111441661331</v>
      </c>
      <c r="BA76" s="252">
        <f t="shared" si="279"/>
        <v>16848.111441661331</v>
      </c>
      <c r="BB76" s="252">
        <f t="shared" si="280"/>
        <v>0</v>
      </c>
      <c r="BC76" s="252">
        <f t="shared" si="281"/>
        <v>0</v>
      </c>
      <c r="BK76" s="252">
        <f t="shared" si="282"/>
        <v>18610.796669852778</v>
      </c>
      <c r="BL76" s="252">
        <f t="shared" si="283"/>
        <v>18610.796669852778</v>
      </c>
    </row>
    <row r="77" spans="2:64" ht="12.75" customHeight="1">
      <c r="B77" s="311"/>
      <c r="C77" s="219" t="s">
        <v>135</v>
      </c>
      <c r="D77" s="219" t="s">
        <v>133</v>
      </c>
      <c r="E77" s="220">
        <v>10</v>
      </c>
      <c r="F77" s="219" t="s">
        <v>127</v>
      </c>
      <c r="G77" s="221">
        <v>5</v>
      </c>
      <c r="H77" s="221">
        <v>5</v>
      </c>
      <c r="I77" s="221">
        <v>5</v>
      </c>
      <c r="J77" s="221"/>
      <c r="K77" s="221"/>
      <c r="L77" s="222">
        <v>15</v>
      </c>
      <c r="M77" s="223">
        <v>5000</v>
      </c>
      <c r="N77" s="224">
        <v>25000</v>
      </c>
      <c r="O77" s="224">
        <v>25000</v>
      </c>
      <c r="P77" s="224">
        <v>25000</v>
      </c>
      <c r="Q77" s="224">
        <v>0</v>
      </c>
      <c r="R77" s="225">
        <v>0</v>
      </c>
      <c r="S77" s="220">
        <v>10</v>
      </c>
      <c r="AA77" s="252">
        <f t="shared" si="255"/>
        <v>27615.553135280119</v>
      </c>
      <c r="AB77" s="252">
        <f t="shared" si="256"/>
        <v>27615.553135280119</v>
      </c>
      <c r="AC77" s="252">
        <f t="shared" si="257"/>
        <v>27615.553135280119</v>
      </c>
      <c r="AD77" s="252">
        <f t="shared" si="258"/>
        <v>0</v>
      </c>
      <c r="AE77" s="252">
        <f t="shared" si="259"/>
        <v>0</v>
      </c>
      <c r="AM77" s="252">
        <f t="shared" si="272"/>
        <v>30504.750998699183</v>
      </c>
      <c r="AN77" s="252">
        <f t="shared" si="273"/>
        <v>30504.750998699183</v>
      </c>
      <c r="AO77" s="252">
        <f t="shared" si="274"/>
        <v>30504.750998699183</v>
      </c>
      <c r="AP77" s="252">
        <f t="shared" si="275"/>
        <v>0</v>
      </c>
      <c r="AQ77" s="252">
        <f t="shared" si="276"/>
        <v>0</v>
      </c>
      <c r="AY77" s="252">
        <f t="shared" si="277"/>
        <v>33696.222883322662</v>
      </c>
      <c r="AZ77" s="252">
        <f t="shared" si="278"/>
        <v>33696.222883322662</v>
      </c>
      <c r="BA77" s="252">
        <f t="shared" si="279"/>
        <v>33696.222883322662</v>
      </c>
      <c r="BB77" s="252">
        <f t="shared" si="280"/>
        <v>0</v>
      </c>
      <c r="BC77" s="252">
        <f t="shared" si="281"/>
        <v>0</v>
      </c>
      <c r="BK77" s="252">
        <f t="shared" si="282"/>
        <v>37221.593339705556</v>
      </c>
      <c r="BL77" s="252">
        <f t="shared" si="283"/>
        <v>37221.593339705556</v>
      </c>
    </row>
    <row r="78" spans="2:64" ht="12.75" customHeight="1">
      <c r="B78" s="311"/>
      <c r="C78" s="219" t="s">
        <v>136</v>
      </c>
      <c r="D78" s="219" t="s">
        <v>133</v>
      </c>
      <c r="E78" s="220">
        <v>10</v>
      </c>
      <c r="F78" s="219" t="s">
        <v>127</v>
      </c>
      <c r="G78" s="221"/>
      <c r="H78" s="221">
        <v>1</v>
      </c>
      <c r="I78" s="221"/>
      <c r="J78" s="221"/>
      <c r="K78" s="221"/>
      <c r="L78" s="222">
        <v>1</v>
      </c>
      <c r="M78" s="223">
        <v>50000</v>
      </c>
      <c r="N78" s="224">
        <v>0</v>
      </c>
      <c r="O78" s="224">
        <v>50000</v>
      </c>
      <c r="P78" s="224">
        <v>0</v>
      </c>
      <c r="Q78" s="224">
        <v>0</v>
      </c>
      <c r="R78" s="225">
        <v>0</v>
      </c>
      <c r="S78" s="220">
        <v>10</v>
      </c>
      <c r="AA78" s="252">
        <f t="shared" si="255"/>
        <v>0</v>
      </c>
      <c r="AB78" s="252">
        <f t="shared" si="256"/>
        <v>55231.106270560238</v>
      </c>
      <c r="AC78" s="252">
        <f t="shared" si="257"/>
        <v>0</v>
      </c>
      <c r="AD78" s="252">
        <f t="shared" si="258"/>
        <v>0</v>
      </c>
      <c r="AE78" s="252">
        <f t="shared" si="259"/>
        <v>0</v>
      </c>
      <c r="AM78" s="252">
        <f t="shared" si="272"/>
        <v>0</v>
      </c>
      <c r="AN78" s="252">
        <f t="shared" si="273"/>
        <v>61009.501997398365</v>
      </c>
      <c r="AO78" s="252">
        <f t="shared" si="274"/>
        <v>0</v>
      </c>
      <c r="AP78" s="252">
        <f t="shared" si="275"/>
        <v>0</v>
      </c>
      <c r="AQ78" s="252">
        <f t="shared" si="276"/>
        <v>0</v>
      </c>
      <c r="AY78" s="252">
        <f t="shared" si="277"/>
        <v>0</v>
      </c>
      <c r="AZ78" s="252">
        <f t="shared" si="278"/>
        <v>67392.445766645324</v>
      </c>
      <c r="BA78" s="252">
        <f t="shared" si="279"/>
        <v>0</v>
      </c>
      <c r="BB78" s="252">
        <f t="shared" si="280"/>
        <v>0</v>
      </c>
      <c r="BC78" s="252">
        <f t="shared" si="281"/>
        <v>0</v>
      </c>
      <c r="BK78" s="252">
        <f t="shared" si="282"/>
        <v>0</v>
      </c>
      <c r="BL78" s="252">
        <f t="shared" si="283"/>
        <v>74443.186679411112</v>
      </c>
    </row>
    <row r="79" spans="2:64" ht="12.75" customHeight="1">
      <c r="B79" s="311"/>
      <c r="C79" s="219" t="s">
        <v>137</v>
      </c>
      <c r="D79" s="219" t="s">
        <v>133</v>
      </c>
      <c r="E79" s="220">
        <v>10</v>
      </c>
      <c r="F79" s="219" t="s">
        <v>127</v>
      </c>
      <c r="G79" s="221"/>
      <c r="H79" s="221">
        <v>1</v>
      </c>
      <c r="I79" s="221"/>
      <c r="J79" s="221"/>
      <c r="K79" s="221"/>
      <c r="L79" s="222">
        <v>1</v>
      </c>
      <c r="M79" s="223">
        <v>6000</v>
      </c>
      <c r="N79" s="224">
        <v>0</v>
      </c>
      <c r="O79" s="224">
        <v>6000</v>
      </c>
      <c r="P79" s="224">
        <v>0</v>
      </c>
      <c r="Q79" s="224">
        <v>0</v>
      </c>
      <c r="R79" s="225">
        <v>0</v>
      </c>
      <c r="S79" s="220">
        <v>10</v>
      </c>
      <c r="AA79" s="252">
        <f t="shared" si="255"/>
        <v>0</v>
      </c>
      <c r="AB79" s="252">
        <f t="shared" si="256"/>
        <v>6627.7327524672282</v>
      </c>
      <c r="AC79" s="252">
        <f t="shared" si="257"/>
        <v>0</v>
      </c>
      <c r="AD79" s="252">
        <f t="shared" si="258"/>
        <v>0</v>
      </c>
      <c r="AE79" s="252">
        <f t="shared" si="259"/>
        <v>0</v>
      </c>
      <c r="AM79" s="252">
        <f t="shared" si="272"/>
        <v>0</v>
      </c>
      <c r="AN79" s="252">
        <f t="shared" si="273"/>
        <v>7321.1402396878038</v>
      </c>
      <c r="AO79" s="252">
        <f t="shared" si="274"/>
        <v>0</v>
      </c>
      <c r="AP79" s="252">
        <f t="shared" si="275"/>
        <v>0</v>
      </c>
      <c r="AQ79" s="252">
        <f t="shared" si="276"/>
        <v>0</v>
      </c>
      <c r="AY79" s="252">
        <f t="shared" si="277"/>
        <v>0</v>
      </c>
      <c r="AZ79" s="252">
        <f t="shared" si="278"/>
        <v>8087.0934919974388</v>
      </c>
      <c r="BA79" s="252">
        <f t="shared" si="279"/>
        <v>0</v>
      </c>
      <c r="BB79" s="252">
        <f t="shared" si="280"/>
        <v>0</v>
      </c>
      <c r="BC79" s="252">
        <f t="shared" si="281"/>
        <v>0</v>
      </c>
      <c r="BK79" s="252">
        <f t="shared" si="282"/>
        <v>0</v>
      </c>
      <c r="BL79" s="252">
        <f t="shared" si="283"/>
        <v>8933.1824015293332</v>
      </c>
    </row>
    <row r="80" spans="2:64" ht="12.75" customHeight="1">
      <c r="B80" s="311"/>
      <c r="C80" s="219" t="s">
        <v>138</v>
      </c>
      <c r="D80" s="219" t="s">
        <v>133</v>
      </c>
      <c r="E80" s="220">
        <v>10</v>
      </c>
      <c r="F80" s="219" t="s">
        <v>127</v>
      </c>
      <c r="G80" s="221">
        <v>1</v>
      </c>
      <c r="H80" s="221"/>
      <c r="I80" s="221"/>
      <c r="J80" s="221"/>
      <c r="K80" s="221"/>
      <c r="L80" s="222">
        <v>1</v>
      </c>
      <c r="M80" s="223">
        <v>20000</v>
      </c>
      <c r="N80" s="224">
        <v>20000</v>
      </c>
      <c r="O80" s="224">
        <v>0</v>
      </c>
      <c r="P80" s="224">
        <v>0</v>
      </c>
      <c r="Q80" s="224">
        <v>0</v>
      </c>
      <c r="R80" s="225">
        <v>0</v>
      </c>
      <c r="S80" s="220">
        <v>10</v>
      </c>
      <c r="AA80" s="252">
        <f t="shared" si="255"/>
        <v>22092.442508224096</v>
      </c>
      <c r="AB80" s="252">
        <f t="shared" si="256"/>
        <v>0</v>
      </c>
      <c r="AC80" s="252">
        <f t="shared" si="257"/>
        <v>0</v>
      </c>
      <c r="AD80" s="252">
        <f t="shared" si="258"/>
        <v>0</v>
      </c>
      <c r="AE80" s="252">
        <f t="shared" si="259"/>
        <v>0</v>
      </c>
      <c r="AM80" s="252">
        <f t="shared" si="272"/>
        <v>24403.80079895935</v>
      </c>
      <c r="AN80" s="252">
        <f t="shared" si="273"/>
        <v>0</v>
      </c>
      <c r="AO80" s="252">
        <f t="shared" si="274"/>
        <v>0</v>
      </c>
      <c r="AP80" s="252">
        <f t="shared" si="275"/>
        <v>0</v>
      </c>
      <c r="AQ80" s="252">
        <f t="shared" si="276"/>
        <v>0</v>
      </c>
      <c r="AY80" s="252">
        <f t="shared" si="277"/>
        <v>26956.978306658133</v>
      </c>
      <c r="AZ80" s="252">
        <f t="shared" si="278"/>
        <v>0</v>
      </c>
      <c r="BA80" s="252">
        <f t="shared" si="279"/>
        <v>0</v>
      </c>
      <c r="BB80" s="252">
        <f t="shared" si="280"/>
        <v>0</v>
      </c>
      <c r="BC80" s="252">
        <f t="shared" si="281"/>
        <v>0</v>
      </c>
      <c r="BK80" s="252">
        <f t="shared" si="282"/>
        <v>29777.274671764448</v>
      </c>
      <c r="BL80" s="252">
        <f t="shared" si="283"/>
        <v>0</v>
      </c>
    </row>
    <row r="81" spans="2:64" ht="12.75" customHeight="1">
      <c r="B81" s="311"/>
      <c r="C81" s="219" t="s">
        <v>139</v>
      </c>
      <c r="D81" s="219" t="s">
        <v>133</v>
      </c>
      <c r="E81" s="220">
        <v>10</v>
      </c>
      <c r="F81" s="219" t="s">
        <v>127</v>
      </c>
      <c r="G81" s="221">
        <v>1</v>
      </c>
      <c r="H81" s="221">
        <v>1</v>
      </c>
      <c r="I81" s="221"/>
      <c r="J81" s="221"/>
      <c r="K81" s="221"/>
      <c r="L81" s="222">
        <v>2</v>
      </c>
      <c r="M81" s="223">
        <v>20000</v>
      </c>
      <c r="N81" s="224">
        <v>20000</v>
      </c>
      <c r="O81" s="224">
        <v>20000</v>
      </c>
      <c r="P81" s="224">
        <v>0</v>
      </c>
      <c r="Q81" s="224">
        <v>0</v>
      </c>
      <c r="R81" s="225">
        <v>0</v>
      </c>
      <c r="S81" s="220">
        <v>10</v>
      </c>
      <c r="AA81" s="252">
        <f t="shared" si="255"/>
        <v>22092.442508224096</v>
      </c>
      <c r="AB81" s="252">
        <f t="shared" si="256"/>
        <v>22092.442508224096</v>
      </c>
      <c r="AC81" s="252">
        <f t="shared" si="257"/>
        <v>0</v>
      </c>
      <c r="AD81" s="252">
        <f t="shared" si="258"/>
        <v>0</v>
      </c>
      <c r="AE81" s="252">
        <f t="shared" si="259"/>
        <v>0</v>
      </c>
      <c r="AM81" s="252">
        <f t="shared" si="272"/>
        <v>24403.80079895935</v>
      </c>
      <c r="AN81" s="252">
        <f t="shared" si="273"/>
        <v>24403.80079895935</v>
      </c>
      <c r="AO81" s="252">
        <f t="shared" si="274"/>
        <v>0</v>
      </c>
      <c r="AP81" s="252">
        <f t="shared" si="275"/>
        <v>0</v>
      </c>
      <c r="AQ81" s="252">
        <f t="shared" si="276"/>
        <v>0</v>
      </c>
      <c r="AY81" s="252">
        <f t="shared" si="277"/>
        <v>26956.978306658133</v>
      </c>
      <c r="AZ81" s="252">
        <f t="shared" si="278"/>
        <v>26956.978306658133</v>
      </c>
      <c r="BA81" s="252">
        <f t="shared" si="279"/>
        <v>0</v>
      </c>
      <c r="BB81" s="252">
        <f t="shared" si="280"/>
        <v>0</v>
      </c>
      <c r="BC81" s="252">
        <f t="shared" si="281"/>
        <v>0</v>
      </c>
      <c r="BK81" s="252">
        <f t="shared" si="282"/>
        <v>29777.274671764448</v>
      </c>
      <c r="BL81" s="252">
        <f t="shared" si="283"/>
        <v>29777.274671764448</v>
      </c>
    </row>
    <row r="82" spans="2:64" ht="12.75" customHeight="1">
      <c r="B82" s="311"/>
      <c r="C82" s="219" t="s">
        <v>140</v>
      </c>
      <c r="D82" s="219" t="s">
        <v>133</v>
      </c>
      <c r="E82" s="220">
        <v>10</v>
      </c>
      <c r="F82" s="219" t="s">
        <v>127</v>
      </c>
      <c r="G82" s="221"/>
      <c r="H82" s="221">
        <v>1</v>
      </c>
      <c r="I82" s="221"/>
      <c r="J82" s="221"/>
      <c r="K82" s="221"/>
      <c r="L82" s="222">
        <v>1</v>
      </c>
      <c r="M82" s="223">
        <v>10000</v>
      </c>
      <c r="N82" s="224">
        <v>0</v>
      </c>
      <c r="O82" s="224">
        <v>10000</v>
      </c>
      <c r="P82" s="224">
        <v>0</v>
      </c>
      <c r="Q82" s="224">
        <v>0</v>
      </c>
      <c r="R82" s="225">
        <v>0</v>
      </c>
      <c r="S82" s="220">
        <v>10</v>
      </c>
      <c r="AA82" s="252">
        <f t="shared" si="255"/>
        <v>0</v>
      </c>
      <c r="AB82" s="252">
        <f t="shared" si="256"/>
        <v>11046.221254112048</v>
      </c>
      <c r="AC82" s="252">
        <f t="shared" si="257"/>
        <v>0</v>
      </c>
      <c r="AD82" s="252">
        <f t="shared" si="258"/>
        <v>0</v>
      </c>
      <c r="AE82" s="252">
        <f t="shared" si="259"/>
        <v>0</v>
      </c>
      <c r="AM82" s="252">
        <f t="shared" si="272"/>
        <v>0</v>
      </c>
      <c r="AN82" s="252">
        <f t="shared" si="273"/>
        <v>12201.900399479675</v>
      </c>
      <c r="AO82" s="252">
        <f t="shared" si="274"/>
        <v>0</v>
      </c>
      <c r="AP82" s="252">
        <f t="shared" si="275"/>
        <v>0</v>
      </c>
      <c r="AQ82" s="252">
        <f t="shared" si="276"/>
        <v>0</v>
      </c>
      <c r="AY82" s="252">
        <f t="shared" si="277"/>
        <v>0</v>
      </c>
      <c r="AZ82" s="252">
        <f t="shared" si="278"/>
        <v>13478.489153329067</v>
      </c>
      <c r="BA82" s="252">
        <f t="shared" si="279"/>
        <v>0</v>
      </c>
      <c r="BB82" s="252">
        <f t="shared" si="280"/>
        <v>0</v>
      </c>
      <c r="BC82" s="252">
        <f t="shared" si="281"/>
        <v>0</v>
      </c>
      <c r="BK82" s="252">
        <f t="shared" si="282"/>
        <v>0</v>
      </c>
      <c r="BL82" s="252">
        <f t="shared" si="283"/>
        <v>14888.637335882224</v>
      </c>
    </row>
    <row r="83" spans="2:64" ht="12.75" customHeight="1">
      <c r="B83" s="311"/>
      <c r="C83" s="219" t="s">
        <v>163</v>
      </c>
      <c r="D83" s="219" t="s">
        <v>133</v>
      </c>
      <c r="E83" s="220">
        <v>5</v>
      </c>
      <c r="F83" s="219" t="s">
        <v>127</v>
      </c>
      <c r="G83" s="221">
        <v>1</v>
      </c>
      <c r="H83" s="221">
        <v>2</v>
      </c>
      <c r="I83" s="221"/>
      <c r="J83" s="221"/>
      <c r="K83" s="221"/>
      <c r="L83" s="222">
        <v>3</v>
      </c>
      <c r="M83" s="223">
        <v>36000</v>
      </c>
      <c r="N83" s="224">
        <v>36000</v>
      </c>
      <c r="O83" s="224">
        <v>72000</v>
      </c>
      <c r="P83" s="224">
        <v>0</v>
      </c>
      <c r="Q83" s="224">
        <v>0</v>
      </c>
      <c r="R83" s="225">
        <v>0</v>
      </c>
      <c r="S83" s="220">
        <v>5</v>
      </c>
      <c r="U83" s="252">
        <f>N83*(1+$G$1)^5</f>
        <v>37836.361803599997</v>
      </c>
      <c r="V83" s="252">
        <f t="shared" ref="V83" si="284">O83*(1+$G$1)^5</f>
        <v>75672.723607199994</v>
      </c>
      <c r="W83" s="252">
        <f t="shared" ref="W83" si="285">P83*(1+$G$1)^5</f>
        <v>0</v>
      </c>
      <c r="X83" s="252">
        <f t="shared" ref="X83" si="286">Q83*(1+$G$1)^5</f>
        <v>0</v>
      </c>
      <c r="Y83" s="252">
        <f t="shared" ref="Y83" si="287">R83*(1+$G$1)^5</f>
        <v>0</v>
      </c>
      <c r="Z83" s="252">
        <f>U83*(1+$G$1)^5</f>
        <v>39766.396514803353</v>
      </c>
      <c r="AA83" s="252">
        <f t="shared" ref="AA83" si="288">T83*(1+$G$1)^5</f>
        <v>0</v>
      </c>
      <c r="AB83" s="252">
        <f t="shared" ref="AB83" si="289">U83*(1+$G$1)^5</f>
        <v>39766.396514803353</v>
      </c>
      <c r="AC83" s="252">
        <f t="shared" ref="AC83" si="290">V83*(1+$G$1)^5</f>
        <v>79532.793029606706</v>
      </c>
      <c r="AD83" s="252">
        <f t="shared" ref="AD83" si="291">W83*(1+$G$1)^5</f>
        <v>0</v>
      </c>
      <c r="AE83" s="252">
        <f>Z83*(1+$G$1)^5</f>
        <v>41794.882393319931</v>
      </c>
      <c r="AF83" s="252">
        <f t="shared" ref="AF83" si="292">Y83*(1+$G$1)^5</f>
        <v>0</v>
      </c>
      <c r="AG83" s="252">
        <f t="shared" ref="AG83" si="293">Z83*(1+$G$1)^5</f>
        <v>41794.882393319931</v>
      </c>
      <c r="AH83" s="252">
        <f t="shared" ref="AH83" si="294">AA83*(1+$G$1)^5</f>
        <v>0</v>
      </c>
      <c r="AI83" s="252">
        <f t="shared" ref="AI83" si="295">AB83*(1+$G$1)^5</f>
        <v>41794.882393319931</v>
      </c>
      <c r="AJ83" s="252">
        <f>AE83*(1+$G$1)^5</f>
        <v>43926.841438126787</v>
      </c>
      <c r="AK83" s="252">
        <f t="shared" ref="AK83" si="296">AD83*(1+$G$1)^5</f>
        <v>0</v>
      </c>
      <c r="AL83" s="252">
        <f t="shared" ref="AL83" si="297">AE83*(1+$G$1)^5</f>
        <v>43926.841438126787</v>
      </c>
      <c r="AM83" s="252">
        <f t="shared" ref="AM83" si="298">AF83*(1+$G$1)^5</f>
        <v>0</v>
      </c>
      <c r="AN83" s="252">
        <f t="shared" ref="AN83" si="299">AG83*(1+$G$1)^5</f>
        <v>43926.841438126787</v>
      </c>
      <c r="AO83" s="252">
        <f>AJ83*(1+$G$1)^5</f>
        <v>46167.551820620385</v>
      </c>
      <c r="AP83" s="252">
        <f t="shared" ref="AP83" si="300">AI83*(1+$G$1)^5</f>
        <v>43926.841438126787</v>
      </c>
      <c r="AQ83" s="252">
        <f t="shared" ref="AQ83" si="301">AJ83*(1+$G$1)^5</f>
        <v>46167.551820620385</v>
      </c>
      <c r="AR83" s="252">
        <f t="shared" ref="AR83" si="302">AK83*(1+$G$1)^5</f>
        <v>0</v>
      </c>
      <c r="AS83" s="252">
        <f t="shared" ref="AS83" si="303">AL83*(1+$G$1)^5</f>
        <v>46167.551820620385</v>
      </c>
      <c r="AT83" s="252">
        <f>AO83*(1+$G$1)^5</f>
        <v>48522.560951984575</v>
      </c>
      <c r="AU83" s="252">
        <f t="shared" ref="AU83" si="304">AN83*(1+$G$1)^5</f>
        <v>46167.551820620385</v>
      </c>
      <c r="AV83" s="252">
        <f t="shared" ref="AV83" si="305">AO83*(1+$G$1)^5</f>
        <v>48522.560951984575</v>
      </c>
      <c r="AW83" s="252">
        <f t="shared" ref="AW83" si="306">AP83*(1+$G$1)^5</f>
        <v>46167.551820620385</v>
      </c>
      <c r="AX83" s="252">
        <f t="shared" ref="AX83" si="307">AQ83*(1+$G$1)^5</f>
        <v>48522.560951984575</v>
      </c>
      <c r="AY83" s="252">
        <f>AT83*(1+$G$1)^5</f>
        <v>50997.699217125606</v>
      </c>
      <c r="AZ83" s="252">
        <f t="shared" ref="AZ83" si="308">AS83*(1+$G$1)^5</f>
        <v>48522.560951984575</v>
      </c>
      <c r="BA83" s="252">
        <f t="shared" ref="BA83" si="309">AT83*(1+$G$1)^5</f>
        <v>50997.699217125606</v>
      </c>
      <c r="BB83" s="252">
        <f t="shared" ref="BB83" si="310">AU83*(1+$G$1)^5</f>
        <v>48522.560951984575</v>
      </c>
      <c r="BC83" s="252">
        <f t="shared" ref="BC83" si="311">AV83*(1+$G$1)^5</f>
        <v>50997.699217125606</v>
      </c>
      <c r="BD83" s="252">
        <f>AY83*(1+$G$1)^5</f>
        <v>53599.094409175908</v>
      </c>
      <c r="BE83" s="252">
        <f t="shared" ref="BE83" si="312">AX83*(1+$G$1)^5</f>
        <v>50997.699217125606</v>
      </c>
      <c r="BF83" s="252">
        <f t="shared" ref="BF83" si="313">AY83*(1+$G$1)^5</f>
        <v>53599.094409175908</v>
      </c>
      <c r="BG83" s="252">
        <f t="shared" ref="BG83" si="314">AZ83*(1+$G$1)^5</f>
        <v>50997.699217125606</v>
      </c>
      <c r="BH83" s="252">
        <f t="shared" ref="BH83" si="315">BA83*(1+$G$1)^5</f>
        <v>53599.094409175908</v>
      </c>
      <c r="BI83" s="252">
        <f>BD83*(1+$G$1)^5</f>
        <v>56333.1869003026</v>
      </c>
      <c r="BJ83" s="252">
        <f t="shared" ref="BJ83" si="316">BC83*(1+$G$1)^5</f>
        <v>53599.094409175908</v>
      </c>
      <c r="BK83" s="252">
        <f t="shared" ref="BK83" si="317">BD83*(1+$G$1)^5</f>
        <v>56333.1869003026</v>
      </c>
      <c r="BL83" s="252">
        <f t="shared" ref="BL83" si="318">BE83*(1+$G$1)^5</f>
        <v>53599.094409175908</v>
      </c>
    </row>
    <row r="84" spans="2:64" ht="12.75" customHeight="1">
      <c r="B84" s="311"/>
      <c r="C84" s="219" t="s">
        <v>164</v>
      </c>
      <c r="D84" s="219"/>
      <c r="E84" s="220"/>
      <c r="F84" s="219" t="s">
        <v>127</v>
      </c>
      <c r="G84" s="221"/>
      <c r="H84" s="221"/>
      <c r="I84" s="221"/>
      <c r="J84" s="221"/>
      <c r="K84" s="221"/>
      <c r="L84" s="222">
        <v>0</v>
      </c>
      <c r="M84" s="223">
        <v>420000</v>
      </c>
      <c r="N84" s="224">
        <v>0</v>
      </c>
      <c r="O84" s="224">
        <v>0</v>
      </c>
      <c r="P84" s="224">
        <v>0</v>
      </c>
      <c r="Q84" s="224">
        <v>0</v>
      </c>
      <c r="R84" s="225">
        <v>0</v>
      </c>
      <c r="S84" s="220"/>
    </row>
    <row r="85" spans="2:64" ht="12.75" customHeight="1">
      <c r="B85" s="311"/>
      <c r="C85" s="226" t="s">
        <v>171</v>
      </c>
      <c r="D85" s="219" t="s">
        <v>133</v>
      </c>
      <c r="E85" s="220">
        <v>10</v>
      </c>
      <c r="F85" s="219" t="s">
        <v>127</v>
      </c>
      <c r="G85" s="221"/>
      <c r="H85" s="221">
        <v>1</v>
      </c>
      <c r="I85" s="221"/>
      <c r="J85" s="221"/>
      <c r="K85" s="221"/>
      <c r="L85" s="222">
        <v>1</v>
      </c>
      <c r="M85" s="223">
        <v>480000</v>
      </c>
      <c r="N85" s="224">
        <v>0</v>
      </c>
      <c r="O85" s="224">
        <v>480000</v>
      </c>
      <c r="P85" s="224">
        <v>0</v>
      </c>
      <c r="Q85" s="224">
        <v>0</v>
      </c>
      <c r="R85" s="225">
        <v>0</v>
      </c>
      <c r="S85" s="220">
        <v>10</v>
      </c>
      <c r="AA85" s="252">
        <f>N85*(1+$G$1)^10</f>
        <v>0</v>
      </c>
      <c r="AB85" s="252">
        <f t="shared" ref="AB85" si="319">O85*(1+$G$1)^10</f>
        <v>530218.62019737833</v>
      </c>
      <c r="AC85" s="252">
        <f>P85*(1+$G$1)^10</f>
        <v>0</v>
      </c>
      <c r="AD85" s="252">
        <f t="shared" ref="AD85" si="320">Q85*(1+$G$1)^10</f>
        <v>0</v>
      </c>
      <c r="AE85" s="252">
        <f t="shared" ref="AE85" si="321">R85*(1+$G$1)^10</f>
        <v>0</v>
      </c>
      <c r="AM85" s="252">
        <f>AA85*(1+$G$1)^10</f>
        <v>0</v>
      </c>
      <c r="AN85" s="252">
        <f t="shared" ref="AN85" si="322">AB85*(1+$G$1)^10</f>
        <v>585691.21917502442</v>
      </c>
      <c r="AO85" s="252">
        <f t="shared" ref="AO85" si="323">AC85*(1+$G$1)^10</f>
        <v>0</v>
      </c>
      <c r="AP85" s="252">
        <f t="shared" ref="AP85" si="324">AD85*(1+$G$1)^10</f>
        <v>0</v>
      </c>
      <c r="AQ85" s="252">
        <f t="shared" ref="AQ85" si="325">AE85*(1+$G$1)^10</f>
        <v>0</v>
      </c>
      <c r="AY85" s="252">
        <f>AM85*(1+$G$1)^10</f>
        <v>0</v>
      </c>
      <c r="AZ85" s="252">
        <f t="shared" ref="AZ85" si="326">AN85*(1+$G$1)^10</f>
        <v>646967.47935979522</v>
      </c>
      <c r="BA85" s="252">
        <f t="shared" ref="BA85" si="327">AO85*(1+$G$1)^10</f>
        <v>0</v>
      </c>
      <c r="BB85" s="252">
        <f t="shared" ref="BB85" si="328">AP85*(1+$G$1)^10</f>
        <v>0</v>
      </c>
      <c r="BC85" s="252">
        <f t="shared" ref="BC85" si="329">AQ85*(1+$G$1)^10</f>
        <v>0</v>
      </c>
      <c r="BK85" s="252">
        <f>AY85*(1+$G$1)^10</f>
        <v>0</v>
      </c>
      <c r="BL85" s="252">
        <f t="shared" ref="BL85" si="330">AZ85*(1+$G$1)^10</f>
        <v>714654.59212234674</v>
      </c>
    </row>
    <row r="86" spans="2:64" ht="12.75" customHeight="1">
      <c r="B86" s="311"/>
      <c r="C86" s="226" t="s">
        <v>144</v>
      </c>
      <c r="D86" s="219" t="s">
        <v>133</v>
      </c>
      <c r="E86" s="220">
        <v>15</v>
      </c>
      <c r="F86" s="219" t="s">
        <v>127</v>
      </c>
      <c r="G86" s="221"/>
      <c r="H86" s="221">
        <v>1</v>
      </c>
      <c r="I86" s="221"/>
      <c r="J86" s="221"/>
      <c r="K86" s="221"/>
      <c r="L86" s="222">
        <v>1</v>
      </c>
      <c r="M86" s="223">
        <v>240000</v>
      </c>
      <c r="N86" s="224">
        <v>0</v>
      </c>
      <c r="O86" s="224">
        <v>240000</v>
      </c>
      <c r="P86" s="224">
        <v>0</v>
      </c>
      <c r="Q86" s="224">
        <v>0</v>
      </c>
      <c r="R86" s="225">
        <v>0</v>
      </c>
      <c r="S86" s="220">
        <v>15</v>
      </c>
      <c r="AA86" s="250"/>
      <c r="AB86" s="250"/>
      <c r="AC86" s="250"/>
      <c r="AD86" s="250"/>
      <c r="AE86" s="252">
        <f>N86*(1+$G$1)^15</f>
        <v>0</v>
      </c>
      <c r="AF86" s="252">
        <f t="shared" ref="AF86" si="331">O86*(1+$G$1)^15</f>
        <v>278632.54928879964</v>
      </c>
      <c r="AG86" s="252">
        <f t="shared" ref="AG86" si="332">P86*(1+$G$1)^15</f>
        <v>0</v>
      </c>
      <c r="AH86" s="252">
        <f t="shared" ref="AH86" si="333">Q86*(1+$G$1)^15</f>
        <v>0</v>
      </c>
      <c r="AI86" s="252">
        <f t="shared" ref="AI86" si="334">R86*(1+$G$1)^15</f>
        <v>0</v>
      </c>
      <c r="AU86" s="258">
        <f>AE86*(1+$G$1)</f>
        <v>0</v>
      </c>
      <c r="AV86" s="258">
        <f t="shared" ref="AV86" si="335">AF86*(1+$G$1)</f>
        <v>281418.87478168763</v>
      </c>
      <c r="AW86" s="258">
        <f t="shared" ref="AW86" si="336">AG86*(1+$G$1)</f>
        <v>0</v>
      </c>
      <c r="AX86" s="258">
        <f t="shared" ref="AX86" si="337">AH86*(1+$G$1)</f>
        <v>0</v>
      </c>
      <c r="AY86" s="258">
        <f t="shared" ref="AY86" si="338">AI86*(1+$G$1)</f>
        <v>0</v>
      </c>
      <c r="BK86" s="258">
        <f>AU86*(1+$G$1)^15</f>
        <v>0</v>
      </c>
      <c r="BL86" s="258">
        <f t="shared" ref="BL86" si="339">AV86*(1+$G$1)^15</f>
        <v>326718.57707669627</v>
      </c>
    </row>
    <row r="87" spans="2:64" ht="12.75" customHeight="1">
      <c r="B87" s="311"/>
      <c r="C87" s="219" t="s">
        <v>145</v>
      </c>
      <c r="D87" s="219" t="s">
        <v>133</v>
      </c>
      <c r="E87" s="220">
        <v>20</v>
      </c>
      <c r="F87" s="219" t="s">
        <v>127</v>
      </c>
      <c r="G87" s="221"/>
      <c r="H87" s="221">
        <v>1</v>
      </c>
      <c r="I87" s="221"/>
      <c r="J87" s="221"/>
      <c r="K87" s="221"/>
      <c r="L87" s="222">
        <v>1</v>
      </c>
      <c r="M87" s="223">
        <v>2500000</v>
      </c>
      <c r="N87" s="224">
        <v>0</v>
      </c>
      <c r="O87" s="224">
        <v>2500000</v>
      </c>
      <c r="P87" s="224">
        <v>0</v>
      </c>
      <c r="Q87" s="224">
        <v>0</v>
      </c>
      <c r="R87" s="225">
        <v>0</v>
      </c>
      <c r="S87" s="220">
        <v>20</v>
      </c>
      <c r="AA87" s="250"/>
      <c r="AB87" s="250"/>
      <c r="AC87" s="250"/>
      <c r="AD87" s="250"/>
      <c r="AE87" s="250"/>
      <c r="AJ87" s="256">
        <f>N87*(1+$G$1)^20</f>
        <v>0</v>
      </c>
      <c r="AK87" s="256">
        <f t="shared" ref="AK87" si="340">O87*(1+$G$1)^20</f>
        <v>3050475.0998699176</v>
      </c>
      <c r="AL87" s="256">
        <f t="shared" ref="AL87" si="341">P87*(1+$G$1)^20</f>
        <v>0</v>
      </c>
      <c r="AM87" s="256">
        <f t="shared" ref="AM87" si="342">Q87*(1+$G$1)^20</f>
        <v>0</v>
      </c>
      <c r="AN87" s="256">
        <f t="shared" ref="AN87" si="343">R87*(1+$G$1)^20</f>
        <v>0</v>
      </c>
      <c r="AO87" s="257"/>
      <c r="BD87" s="256">
        <f>AJ87*(1+$G$1)^20</f>
        <v>0</v>
      </c>
      <c r="BE87" s="256">
        <f t="shared" ref="BE87" si="344">AK87</f>
        <v>3050475.0998699176</v>
      </c>
      <c r="BF87" s="256">
        <f t="shared" ref="BF87" si="345">AL87</f>
        <v>0</v>
      </c>
      <c r="BG87" s="256">
        <f t="shared" ref="BG87" si="346">AM87</f>
        <v>0</v>
      </c>
      <c r="BH87" s="256">
        <f t="shared" ref="BH87" si="347">AN87</f>
        <v>0</v>
      </c>
    </row>
    <row r="88" spans="2:64" ht="12.75" customHeight="1" thickBot="1">
      <c r="B88" s="312"/>
      <c r="C88" s="231" t="s">
        <v>166</v>
      </c>
      <c r="D88" s="219" t="s">
        <v>133</v>
      </c>
      <c r="E88" s="230">
        <v>30</v>
      </c>
      <c r="F88" s="231" t="s">
        <v>130</v>
      </c>
      <c r="G88" s="232">
        <v>0</v>
      </c>
      <c r="H88" s="232">
        <v>1</v>
      </c>
      <c r="I88" s="232">
        <v>0</v>
      </c>
      <c r="J88" s="232">
        <v>0</v>
      </c>
      <c r="K88" s="232">
        <v>0</v>
      </c>
      <c r="L88" s="233">
        <v>1</v>
      </c>
      <c r="M88" s="234">
        <v>500000</v>
      </c>
      <c r="N88" s="235">
        <v>0</v>
      </c>
      <c r="O88" s="235">
        <v>500000</v>
      </c>
      <c r="P88" s="235">
        <v>0</v>
      </c>
      <c r="Q88" s="235">
        <v>0</v>
      </c>
      <c r="R88" s="236">
        <v>0</v>
      </c>
      <c r="S88" s="230">
        <v>30</v>
      </c>
      <c r="AX88" s="252">
        <f>N88*(1+$G$1)^(AX$4-$N$4)</f>
        <v>0</v>
      </c>
      <c r="AY88" s="252">
        <f>O88*(1+$G$1)^(AY$4-$N$4)</f>
        <v>715384.39179579052</v>
      </c>
      <c r="AZ88" s="252">
        <f t="shared" ref="AZ88" si="348">P88*(1+$G$1)^(AZ$4-$N$4)</f>
        <v>0</v>
      </c>
      <c r="BA88" s="252">
        <f t="shared" ref="BA88" si="349">Q88*(1+$G$1)^(BA$4-$N$4)</f>
        <v>0</v>
      </c>
      <c r="BB88" s="252">
        <f t="shared" ref="BB88" si="350">R88*(1+$G$1)^(BB$4-$N$4)</f>
        <v>0</v>
      </c>
    </row>
    <row r="89" spans="2:64" ht="12.75" customHeight="1" thickBot="1"/>
    <row r="90" spans="2:64" ht="12.75" customHeight="1">
      <c r="B90" s="212" t="s">
        <v>113</v>
      </c>
      <c r="C90" s="213" t="s">
        <v>114</v>
      </c>
      <c r="D90" s="213" t="s">
        <v>115</v>
      </c>
      <c r="E90" s="213" t="s">
        <v>116</v>
      </c>
      <c r="F90" s="213" t="s">
        <v>117</v>
      </c>
      <c r="G90" s="214">
        <v>2021</v>
      </c>
      <c r="H90" s="214">
        <v>2022</v>
      </c>
      <c r="I90" s="214">
        <v>2023</v>
      </c>
      <c r="J90" s="214">
        <v>2024</v>
      </c>
      <c r="K90" s="214">
        <v>2025</v>
      </c>
      <c r="L90" s="215" t="s">
        <v>118</v>
      </c>
      <c r="M90" s="216" t="s">
        <v>119</v>
      </c>
      <c r="N90" s="217" t="s">
        <v>120</v>
      </c>
      <c r="O90" s="217" t="s">
        <v>121</v>
      </c>
      <c r="P90" s="217" t="s">
        <v>122</v>
      </c>
      <c r="Q90" s="217" t="s">
        <v>123</v>
      </c>
      <c r="R90" s="217" t="s">
        <v>124</v>
      </c>
      <c r="S90" s="213" t="s">
        <v>116</v>
      </c>
    </row>
    <row r="91" spans="2:64" ht="12.75" customHeight="1">
      <c r="B91" s="313" t="s">
        <v>147</v>
      </c>
      <c r="C91" s="219" t="s">
        <v>148</v>
      </c>
      <c r="D91" s="219" t="s">
        <v>133</v>
      </c>
      <c r="E91" s="220">
        <v>10</v>
      </c>
      <c r="F91" s="219" t="s">
        <v>149</v>
      </c>
      <c r="G91" s="221">
        <v>1</v>
      </c>
      <c r="H91" s="221"/>
      <c r="I91" s="221"/>
      <c r="J91" s="221"/>
      <c r="K91" s="221"/>
      <c r="L91" s="222">
        <v>1</v>
      </c>
      <c r="M91" s="223">
        <v>300000</v>
      </c>
      <c r="N91" s="224">
        <v>300000</v>
      </c>
      <c r="O91" s="224">
        <v>0</v>
      </c>
      <c r="P91" s="224">
        <v>0</v>
      </c>
      <c r="Q91" s="224">
        <v>0</v>
      </c>
      <c r="R91" s="224">
        <v>0</v>
      </c>
      <c r="S91" s="220">
        <v>10</v>
      </c>
      <c r="AA91" s="252">
        <f t="shared" ref="AA91:AA95" si="351">N91*(1+$G$1)^10</f>
        <v>331386.63762336143</v>
      </c>
      <c r="AB91" s="252">
        <f t="shared" ref="AB91:AB95" si="352">O91*(1+$G$1)^10</f>
        <v>0</v>
      </c>
      <c r="AC91" s="252">
        <f t="shared" ref="AC91:AC95" si="353">P91*(1+$G$1)^10</f>
        <v>0</v>
      </c>
      <c r="AD91" s="252">
        <f t="shared" ref="AD91:AD95" si="354">Q91*(1+$G$1)^10</f>
        <v>0</v>
      </c>
      <c r="AE91" s="252">
        <f t="shared" ref="AE91:AE95" si="355">R91*(1+$G$1)^10</f>
        <v>0</v>
      </c>
      <c r="AM91" s="252">
        <f t="shared" ref="AM91:AM95" si="356">AA91*(1+$G$1)^10</f>
        <v>366057.01198439021</v>
      </c>
      <c r="AN91" s="252">
        <f t="shared" ref="AN91:AN95" si="357">AB91*(1+$G$1)^10</f>
        <v>0</v>
      </c>
      <c r="AO91" s="252">
        <f t="shared" ref="AO91:AO95" si="358">AC91*(1+$G$1)^10</f>
        <v>0</v>
      </c>
      <c r="AP91" s="252">
        <f t="shared" ref="AP91:AP95" si="359">AD91*(1+$G$1)^10</f>
        <v>0</v>
      </c>
      <c r="AQ91" s="252">
        <f t="shared" ref="AQ91:AQ95" si="360">AE91*(1+$G$1)^10</f>
        <v>0</v>
      </c>
      <c r="AY91" s="252">
        <f t="shared" ref="AY91:AY95" si="361">AM91*(1+$G$1)^10</f>
        <v>404354.67459987197</v>
      </c>
      <c r="AZ91" s="252">
        <f t="shared" ref="AZ91:AZ95" si="362">AN91*(1+$G$1)^10</f>
        <v>0</v>
      </c>
      <c r="BA91" s="252">
        <f t="shared" ref="BA91:BA95" si="363">AO91*(1+$G$1)^10</f>
        <v>0</v>
      </c>
      <c r="BB91" s="252">
        <f t="shared" ref="BB91:BB95" si="364">AP91*(1+$G$1)^10</f>
        <v>0</v>
      </c>
      <c r="BC91" s="252">
        <f t="shared" ref="BC91:BC95" si="365">AQ91*(1+$G$1)^10</f>
        <v>0</v>
      </c>
      <c r="BK91" s="252">
        <f t="shared" ref="BK91:BK95" si="366">AY91*(1+$G$1)^10</f>
        <v>446659.12007646664</v>
      </c>
      <c r="BL91" s="252">
        <f t="shared" ref="BL91:BL95" si="367">AZ91*(1+$G$1)^10</f>
        <v>0</v>
      </c>
    </row>
    <row r="92" spans="2:64" ht="12.75" customHeight="1">
      <c r="B92" s="314"/>
      <c r="C92" s="219" t="s">
        <v>150</v>
      </c>
      <c r="D92" s="219" t="s">
        <v>133</v>
      </c>
      <c r="E92" s="220">
        <v>10</v>
      </c>
      <c r="F92" s="219" t="s">
        <v>127</v>
      </c>
      <c r="G92" s="221">
        <v>1</v>
      </c>
      <c r="H92" s="221"/>
      <c r="I92" s="221"/>
      <c r="J92" s="221"/>
      <c r="K92" s="221"/>
      <c r="L92" s="222">
        <v>1</v>
      </c>
      <c r="M92" s="223">
        <v>300000</v>
      </c>
      <c r="N92" s="224">
        <v>300000</v>
      </c>
      <c r="O92" s="224">
        <v>0</v>
      </c>
      <c r="P92" s="224">
        <v>0</v>
      </c>
      <c r="Q92" s="224">
        <v>0</v>
      </c>
      <c r="R92" s="224">
        <v>0</v>
      </c>
      <c r="S92" s="220">
        <v>10</v>
      </c>
      <c r="AA92" s="252">
        <f t="shared" si="351"/>
        <v>331386.63762336143</v>
      </c>
      <c r="AB92" s="252">
        <f t="shared" si="352"/>
        <v>0</v>
      </c>
      <c r="AC92" s="252">
        <f t="shared" si="353"/>
        <v>0</v>
      </c>
      <c r="AD92" s="252">
        <f t="shared" si="354"/>
        <v>0</v>
      </c>
      <c r="AE92" s="252">
        <f t="shared" si="355"/>
        <v>0</v>
      </c>
      <c r="AM92" s="252">
        <f t="shared" si="356"/>
        <v>366057.01198439021</v>
      </c>
      <c r="AN92" s="252">
        <f t="shared" si="357"/>
        <v>0</v>
      </c>
      <c r="AO92" s="252">
        <f t="shared" si="358"/>
        <v>0</v>
      </c>
      <c r="AP92" s="252">
        <f t="shared" si="359"/>
        <v>0</v>
      </c>
      <c r="AQ92" s="252">
        <f t="shared" si="360"/>
        <v>0</v>
      </c>
      <c r="AY92" s="252">
        <f t="shared" si="361"/>
        <v>404354.67459987197</v>
      </c>
      <c r="AZ92" s="252">
        <f t="shared" si="362"/>
        <v>0</v>
      </c>
      <c r="BA92" s="252">
        <f t="shared" si="363"/>
        <v>0</v>
      </c>
      <c r="BB92" s="252">
        <f t="shared" si="364"/>
        <v>0</v>
      </c>
      <c r="BC92" s="252">
        <f t="shared" si="365"/>
        <v>0</v>
      </c>
      <c r="BK92" s="252">
        <f t="shared" si="366"/>
        <v>446659.12007646664</v>
      </c>
      <c r="BL92" s="252">
        <f t="shared" si="367"/>
        <v>0</v>
      </c>
    </row>
    <row r="93" spans="2:64" ht="12.75" customHeight="1">
      <c r="B93" s="314"/>
      <c r="C93" s="219" t="s">
        <v>151</v>
      </c>
      <c r="D93" s="219" t="s">
        <v>133</v>
      </c>
      <c r="E93" s="220">
        <v>10</v>
      </c>
      <c r="F93" s="219" t="s">
        <v>127</v>
      </c>
      <c r="G93" s="221">
        <v>1</v>
      </c>
      <c r="H93" s="221"/>
      <c r="I93" s="221"/>
      <c r="J93" s="221"/>
      <c r="K93" s="221"/>
      <c r="L93" s="222">
        <v>1</v>
      </c>
      <c r="M93" s="223">
        <v>200000</v>
      </c>
      <c r="N93" s="224">
        <v>200000</v>
      </c>
      <c r="O93" s="224">
        <v>0</v>
      </c>
      <c r="P93" s="224">
        <v>0</v>
      </c>
      <c r="Q93" s="224">
        <v>0</v>
      </c>
      <c r="R93" s="224">
        <v>0</v>
      </c>
      <c r="S93" s="220">
        <v>10</v>
      </c>
      <c r="AA93" s="252">
        <f t="shared" si="351"/>
        <v>220924.42508224095</v>
      </c>
      <c r="AB93" s="252">
        <f t="shared" si="352"/>
        <v>0</v>
      </c>
      <c r="AC93" s="252">
        <f t="shared" si="353"/>
        <v>0</v>
      </c>
      <c r="AD93" s="252">
        <f t="shared" si="354"/>
        <v>0</v>
      </c>
      <c r="AE93" s="252">
        <f t="shared" si="355"/>
        <v>0</v>
      </c>
      <c r="AM93" s="252">
        <f t="shared" si="356"/>
        <v>244038.00798959346</v>
      </c>
      <c r="AN93" s="252">
        <f t="shared" si="357"/>
        <v>0</v>
      </c>
      <c r="AO93" s="252">
        <f t="shared" si="358"/>
        <v>0</v>
      </c>
      <c r="AP93" s="252">
        <f t="shared" si="359"/>
        <v>0</v>
      </c>
      <c r="AQ93" s="252">
        <f t="shared" si="360"/>
        <v>0</v>
      </c>
      <c r="AY93" s="252">
        <f t="shared" si="361"/>
        <v>269569.78306658129</v>
      </c>
      <c r="AZ93" s="252">
        <f t="shared" si="362"/>
        <v>0</v>
      </c>
      <c r="BA93" s="252">
        <f t="shared" si="363"/>
        <v>0</v>
      </c>
      <c r="BB93" s="252">
        <f t="shared" si="364"/>
        <v>0</v>
      </c>
      <c r="BC93" s="252">
        <f t="shared" si="365"/>
        <v>0</v>
      </c>
      <c r="BK93" s="252">
        <f t="shared" si="366"/>
        <v>297772.74671764445</v>
      </c>
      <c r="BL93" s="252">
        <f t="shared" si="367"/>
        <v>0</v>
      </c>
    </row>
    <row r="94" spans="2:64" ht="12.75" customHeight="1">
      <c r="B94" s="314"/>
      <c r="C94" s="219" t="s">
        <v>152</v>
      </c>
      <c r="D94" s="219" t="s">
        <v>133</v>
      </c>
      <c r="E94" s="220">
        <v>10</v>
      </c>
      <c r="F94" s="219" t="s">
        <v>127</v>
      </c>
      <c r="G94" s="221"/>
      <c r="H94" s="221">
        <v>1</v>
      </c>
      <c r="I94" s="221"/>
      <c r="J94" s="221"/>
      <c r="K94" s="221"/>
      <c r="L94" s="222">
        <v>1</v>
      </c>
      <c r="M94" s="223">
        <v>300000</v>
      </c>
      <c r="N94" s="224">
        <v>0</v>
      </c>
      <c r="O94" s="224">
        <v>300000</v>
      </c>
      <c r="P94" s="224">
        <v>0</v>
      </c>
      <c r="Q94" s="224">
        <v>0</v>
      </c>
      <c r="R94" s="224">
        <v>0</v>
      </c>
      <c r="S94" s="220">
        <v>10</v>
      </c>
      <c r="AA94" s="252">
        <f t="shared" si="351"/>
        <v>0</v>
      </c>
      <c r="AB94" s="252">
        <f t="shared" si="352"/>
        <v>331386.63762336143</v>
      </c>
      <c r="AC94" s="252">
        <f t="shared" si="353"/>
        <v>0</v>
      </c>
      <c r="AD94" s="252">
        <f t="shared" si="354"/>
        <v>0</v>
      </c>
      <c r="AE94" s="252">
        <f t="shared" si="355"/>
        <v>0</v>
      </c>
      <c r="AM94" s="252">
        <f t="shared" si="356"/>
        <v>0</v>
      </c>
      <c r="AN94" s="252">
        <f t="shared" si="357"/>
        <v>366057.01198439021</v>
      </c>
      <c r="AO94" s="252">
        <f t="shared" si="358"/>
        <v>0</v>
      </c>
      <c r="AP94" s="252">
        <f t="shared" si="359"/>
        <v>0</v>
      </c>
      <c r="AQ94" s="252">
        <f t="shared" si="360"/>
        <v>0</v>
      </c>
      <c r="AY94" s="252">
        <f t="shared" si="361"/>
        <v>0</v>
      </c>
      <c r="AZ94" s="252">
        <f t="shared" si="362"/>
        <v>404354.67459987197</v>
      </c>
      <c r="BA94" s="252">
        <f t="shared" si="363"/>
        <v>0</v>
      </c>
      <c r="BB94" s="252">
        <f t="shared" si="364"/>
        <v>0</v>
      </c>
      <c r="BC94" s="252">
        <f t="shared" si="365"/>
        <v>0</v>
      </c>
      <c r="BK94" s="252">
        <f t="shared" si="366"/>
        <v>0</v>
      </c>
      <c r="BL94" s="252">
        <f t="shared" si="367"/>
        <v>446659.12007646664</v>
      </c>
    </row>
    <row r="95" spans="2:64" ht="12.75" customHeight="1">
      <c r="B95" s="314"/>
      <c r="C95" s="219" t="s">
        <v>153</v>
      </c>
      <c r="D95" s="219" t="s">
        <v>133</v>
      </c>
      <c r="E95" s="220">
        <v>10</v>
      </c>
      <c r="F95" s="219" t="s">
        <v>149</v>
      </c>
      <c r="G95" s="221"/>
      <c r="H95" s="221">
        <v>2</v>
      </c>
      <c r="I95" s="221"/>
      <c r="J95" s="221"/>
      <c r="K95" s="221"/>
      <c r="L95" s="222">
        <v>2</v>
      </c>
      <c r="M95" s="223">
        <v>150000</v>
      </c>
      <c r="N95" s="224">
        <v>0</v>
      </c>
      <c r="O95" s="224">
        <v>300000</v>
      </c>
      <c r="P95" s="224">
        <v>0</v>
      </c>
      <c r="Q95" s="224">
        <v>0</v>
      </c>
      <c r="R95" s="224">
        <v>0</v>
      </c>
      <c r="S95" s="220">
        <v>10</v>
      </c>
      <c r="AA95" s="252">
        <f t="shared" si="351"/>
        <v>0</v>
      </c>
      <c r="AB95" s="252">
        <f t="shared" si="352"/>
        <v>331386.63762336143</v>
      </c>
      <c r="AC95" s="252">
        <f t="shared" si="353"/>
        <v>0</v>
      </c>
      <c r="AD95" s="252">
        <f t="shared" si="354"/>
        <v>0</v>
      </c>
      <c r="AE95" s="252">
        <f t="shared" si="355"/>
        <v>0</v>
      </c>
      <c r="AM95" s="252">
        <f t="shared" si="356"/>
        <v>0</v>
      </c>
      <c r="AN95" s="252">
        <f t="shared" si="357"/>
        <v>366057.01198439021</v>
      </c>
      <c r="AO95" s="252">
        <f t="shared" si="358"/>
        <v>0</v>
      </c>
      <c r="AP95" s="252">
        <f t="shared" si="359"/>
        <v>0</v>
      </c>
      <c r="AQ95" s="252">
        <f t="shared" si="360"/>
        <v>0</v>
      </c>
      <c r="AY95" s="252">
        <f t="shared" si="361"/>
        <v>0</v>
      </c>
      <c r="AZ95" s="252">
        <f t="shared" si="362"/>
        <v>404354.67459987197</v>
      </c>
      <c r="BA95" s="252">
        <f t="shared" si="363"/>
        <v>0</v>
      </c>
      <c r="BB95" s="252">
        <f t="shared" si="364"/>
        <v>0</v>
      </c>
      <c r="BC95" s="252">
        <f t="shared" si="365"/>
        <v>0</v>
      </c>
      <c r="BK95" s="252">
        <f t="shared" si="366"/>
        <v>0</v>
      </c>
      <c r="BL95" s="252">
        <f t="shared" si="367"/>
        <v>446659.12007646664</v>
      </c>
    </row>
    <row r="96" spans="2:64" ht="12.75" customHeight="1">
      <c r="B96" s="314"/>
      <c r="C96" s="219" t="s">
        <v>154</v>
      </c>
      <c r="D96" s="219" t="s">
        <v>133</v>
      </c>
      <c r="E96" s="220"/>
      <c r="F96" s="219" t="s">
        <v>149</v>
      </c>
      <c r="G96" s="221"/>
      <c r="H96" s="221"/>
      <c r="I96" s="221"/>
      <c r="J96" s="221"/>
      <c r="K96" s="221"/>
      <c r="L96" s="222">
        <v>0</v>
      </c>
      <c r="M96" s="223">
        <v>360000</v>
      </c>
      <c r="N96" s="224">
        <v>0</v>
      </c>
      <c r="O96" s="224">
        <v>0</v>
      </c>
      <c r="P96" s="224">
        <v>0</v>
      </c>
      <c r="Q96" s="224">
        <v>0</v>
      </c>
      <c r="R96" s="224">
        <v>0</v>
      </c>
      <c r="S96" s="220"/>
    </row>
    <row r="97" spans="2:64" ht="12.75" customHeight="1">
      <c r="B97" s="314"/>
      <c r="C97" s="219" t="s">
        <v>155</v>
      </c>
      <c r="D97" s="219" t="s">
        <v>133</v>
      </c>
      <c r="E97" s="220">
        <v>10</v>
      </c>
      <c r="F97" s="219" t="s">
        <v>149</v>
      </c>
      <c r="G97" s="221"/>
      <c r="H97" s="221">
        <v>1</v>
      </c>
      <c r="I97" s="221"/>
      <c r="J97" s="221"/>
      <c r="K97" s="221"/>
      <c r="L97" s="222">
        <v>1</v>
      </c>
      <c r="M97" s="223">
        <v>600000</v>
      </c>
      <c r="N97" s="224">
        <v>0</v>
      </c>
      <c r="O97" s="224">
        <v>600000</v>
      </c>
      <c r="P97" s="224">
        <v>0</v>
      </c>
      <c r="Q97" s="224">
        <v>0</v>
      </c>
      <c r="R97" s="224">
        <v>0</v>
      </c>
      <c r="S97" s="220">
        <v>10</v>
      </c>
      <c r="AA97" s="252">
        <f t="shared" ref="AA97:AA98" si="368">N97*(1+$G$1)^10</f>
        <v>0</v>
      </c>
      <c r="AB97" s="252">
        <f t="shared" ref="AB97:AB98" si="369">O97*(1+$G$1)^10</f>
        <v>662773.27524672286</v>
      </c>
      <c r="AC97" s="252">
        <f t="shared" ref="AC97:AC98" si="370">P97*(1+$G$1)^10</f>
        <v>0</v>
      </c>
      <c r="AD97" s="252">
        <f t="shared" ref="AD97:AD98" si="371">Q97*(1+$G$1)^10</f>
        <v>0</v>
      </c>
      <c r="AE97" s="252">
        <f t="shared" ref="AE97:AE98" si="372">R97*(1+$G$1)^10</f>
        <v>0</v>
      </c>
      <c r="AM97" s="252">
        <f t="shared" ref="AM97:AM98" si="373">AA97*(1+$G$1)^10</f>
        <v>0</v>
      </c>
      <c r="AN97" s="252">
        <f t="shared" ref="AN97:AN98" si="374">AB97*(1+$G$1)^10</f>
        <v>732114.02396878041</v>
      </c>
      <c r="AO97" s="252">
        <f t="shared" ref="AO97:AO98" si="375">AC97*(1+$G$1)^10</f>
        <v>0</v>
      </c>
      <c r="AP97" s="252">
        <f t="shared" ref="AP97:AP98" si="376">AD97*(1+$G$1)^10</f>
        <v>0</v>
      </c>
      <c r="AQ97" s="252">
        <f t="shared" ref="AQ97:AQ98" si="377">AE97*(1+$G$1)^10</f>
        <v>0</v>
      </c>
      <c r="AY97" s="252">
        <f t="shared" ref="AY97:AY98" si="378">AM97*(1+$G$1)^10</f>
        <v>0</v>
      </c>
      <c r="AZ97" s="252">
        <f t="shared" ref="AZ97:AZ98" si="379">AN97*(1+$G$1)^10</f>
        <v>808709.34919974394</v>
      </c>
      <c r="BA97" s="252">
        <f t="shared" ref="BA97:BA98" si="380">AO97*(1+$G$1)^10</f>
        <v>0</v>
      </c>
      <c r="BB97" s="252">
        <f t="shared" ref="BB97:BB98" si="381">AP97*(1+$G$1)^10</f>
        <v>0</v>
      </c>
      <c r="BC97" s="252">
        <f t="shared" ref="BC97:BC98" si="382">AQ97*(1+$G$1)^10</f>
        <v>0</v>
      </c>
      <c r="BK97" s="252">
        <f t="shared" ref="BK97:BK98" si="383">AY97*(1+$G$1)^10</f>
        <v>0</v>
      </c>
      <c r="BL97" s="252">
        <f t="shared" ref="BL97:BL98" si="384">AZ97*(1+$G$1)^10</f>
        <v>893318.24015293329</v>
      </c>
    </row>
    <row r="98" spans="2:64" ht="12.75" customHeight="1">
      <c r="B98" s="314"/>
      <c r="C98" s="219" t="s">
        <v>156</v>
      </c>
      <c r="D98" s="219" t="s">
        <v>133</v>
      </c>
      <c r="E98" s="220">
        <v>10</v>
      </c>
      <c r="F98" s="219" t="s">
        <v>149</v>
      </c>
      <c r="G98" s="221"/>
      <c r="H98" s="221">
        <v>0.75</v>
      </c>
      <c r="I98" s="221">
        <v>0.25</v>
      </c>
      <c r="J98" s="221"/>
      <c r="K98" s="221"/>
      <c r="L98" s="222">
        <v>1</v>
      </c>
      <c r="M98" s="223">
        <v>600000</v>
      </c>
      <c r="N98" s="224">
        <v>0</v>
      </c>
      <c r="O98" s="224">
        <v>450000</v>
      </c>
      <c r="P98" s="224">
        <v>150000</v>
      </c>
      <c r="Q98" s="224">
        <v>0</v>
      </c>
      <c r="R98" s="224">
        <v>0</v>
      </c>
      <c r="S98" s="220">
        <v>10</v>
      </c>
      <c r="AA98" s="252">
        <f t="shared" si="368"/>
        <v>0</v>
      </c>
      <c r="AB98" s="252">
        <f t="shared" si="369"/>
        <v>497079.95643504214</v>
      </c>
      <c r="AC98" s="252">
        <f t="shared" si="370"/>
        <v>165693.31881168071</v>
      </c>
      <c r="AD98" s="252">
        <f t="shared" si="371"/>
        <v>0</v>
      </c>
      <c r="AE98" s="252">
        <f t="shared" si="372"/>
        <v>0</v>
      </c>
      <c r="AM98" s="252">
        <f t="shared" si="373"/>
        <v>0</v>
      </c>
      <c r="AN98" s="252">
        <f t="shared" si="374"/>
        <v>549085.51797658531</v>
      </c>
      <c r="AO98" s="252">
        <f t="shared" si="375"/>
        <v>183028.5059921951</v>
      </c>
      <c r="AP98" s="252">
        <f t="shared" si="376"/>
        <v>0</v>
      </c>
      <c r="AQ98" s="252">
        <f t="shared" si="377"/>
        <v>0</v>
      </c>
      <c r="AY98" s="252">
        <f t="shared" si="378"/>
        <v>0</v>
      </c>
      <c r="AZ98" s="252">
        <f t="shared" si="379"/>
        <v>606532.01189980796</v>
      </c>
      <c r="BA98" s="252">
        <f t="shared" si="380"/>
        <v>202177.33729993599</v>
      </c>
      <c r="BB98" s="252">
        <f t="shared" si="381"/>
        <v>0</v>
      </c>
      <c r="BC98" s="252">
        <f t="shared" si="382"/>
        <v>0</v>
      </c>
      <c r="BK98" s="252">
        <f t="shared" si="383"/>
        <v>0</v>
      </c>
      <c r="BL98" s="252">
        <f t="shared" si="384"/>
        <v>669988.68011469999</v>
      </c>
    </row>
    <row r="99" spans="2:64" ht="12.75" customHeight="1">
      <c r="B99" s="314"/>
      <c r="C99" s="219" t="s">
        <v>157</v>
      </c>
      <c r="D99" s="219" t="s">
        <v>133</v>
      </c>
      <c r="E99" s="220"/>
      <c r="F99" s="219" t="s">
        <v>127</v>
      </c>
      <c r="G99" s="221"/>
      <c r="H99" s="221"/>
      <c r="I99" s="221"/>
      <c r="J99" s="221"/>
      <c r="K99" s="221"/>
      <c r="L99" s="222">
        <v>0</v>
      </c>
      <c r="M99" s="223">
        <v>72000</v>
      </c>
      <c r="N99" s="224">
        <v>0</v>
      </c>
      <c r="O99" s="224">
        <v>0</v>
      </c>
      <c r="P99" s="224">
        <v>0</v>
      </c>
      <c r="Q99" s="224">
        <v>0</v>
      </c>
      <c r="R99" s="224">
        <v>0</v>
      </c>
      <c r="S99" s="220"/>
    </row>
    <row r="100" spans="2:64" ht="12.75" customHeight="1">
      <c r="B100" s="314"/>
      <c r="C100" s="219" t="s">
        <v>158</v>
      </c>
      <c r="D100" s="219" t="s">
        <v>133</v>
      </c>
      <c r="E100" s="220"/>
      <c r="F100" s="219" t="s">
        <v>149</v>
      </c>
      <c r="G100" s="221"/>
      <c r="H100" s="221"/>
      <c r="I100" s="221"/>
      <c r="J100" s="221"/>
      <c r="K100" s="221"/>
      <c r="L100" s="222">
        <v>0</v>
      </c>
      <c r="M100" s="223">
        <v>420000</v>
      </c>
      <c r="N100" s="224">
        <v>0</v>
      </c>
      <c r="O100" s="224">
        <v>0</v>
      </c>
      <c r="P100" s="224">
        <v>0</v>
      </c>
      <c r="Q100" s="224">
        <v>0</v>
      </c>
      <c r="R100" s="224">
        <v>0</v>
      </c>
      <c r="S100" s="220"/>
    </row>
    <row r="101" spans="2:64" ht="12.75" customHeight="1">
      <c r="B101" s="314"/>
      <c r="C101" s="219" t="s">
        <v>159</v>
      </c>
      <c r="D101" s="219" t="s">
        <v>133</v>
      </c>
      <c r="E101" s="220">
        <v>10</v>
      </c>
      <c r="F101" s="219" t="s">
        <v>149</v>
      </c>
      <c r="G101" s="221"/>
      <c r="H101" s="221">
        <v>1</v>
      </c>
      <c r="I101" s="221"/>
      <c r="J101" s="221"/>
      <c r="K101" s="221"/>
      <c r="L101" s="222">
        <v>1</v>
      </c>
      <c r="M101" s="223">
        <v>300000</v>
      </c>
      <c r="N101" s="224">
        <v>0</v>
      </c>
      <c r="O101" s="224">
        <v>300000</v>
      </c>
      <c r="P101" s="224">
        <v>0</v>
      </c>
      <c r="Q101" s="224">
        <v>0</v>
      </c>
      <c r="R101" s="224">
        <v>0</v>
      </c>
      <c r="S101" s="220">
        <v>10</v>
      </c>
      <c r="AA101" s="252">
        <f>N101*(1+$G$1)^10</f>
        <v>0</v>
      </c>
      <c r="AB101" s="252">
        <f t="shared" ref="AB101:AB102" si="385">O101*(1+$G$1)^10</f>
        <v>331386.63762336143</v>
      </c>
      <c r="AC101" s="252">
        <f>P101*(1+$G$1)^10</f>
        <v>0</v>
      </c>
      <c r="AD101" s="252">
        <f t="shared" ref="AD101:AD102" si="386">Q101*(1+$G$1)^10</f>
        <v>0</v>
      </c>
      <c r="AE101" s="252">
        <f t="shared" ref="AE101:AE102" si="387">R101*(1+$G$1)^10</f>
        <v>0</v>
      </c>
      <c r="AM101" s="252">
        <f>AA101*(1+$G$1)^10</f>
        <v>0</v>
      </c>
      <c r="AN101" s="252">
        <f t="shared" ref="AN101:AN102" si="388">AB101*(1+$G$1)^10</f>
        <v>366057.01198439021</v>
      </c>
      <c r="AO101" s="252">
        <f t="shared" ref="AO101:AO102" si="389">AC101*(1+$G$1)^10</f>
        <v>0</v>
      </c>
      <c r="AP101" s="252">
        <f t="shared" ref="AP101:AP102" si="390">AD101*(1+$G$1)^10</f>
        <v>0</v>
      </c>
      <c r="AQ101" s="252">
        <f t="shared" ref="AQ101:AQ102" si="391">AE101*(1+$G$1)^10</f>
        <v>0</v>
      </c>
      <c r="AY101" s="252">
        <f>AM101*(1+$G$1)^10</f>
        <v>0</v>
      </c>
      <c r="AZ101" s="252">
        <f t="shared" ref="AZ101:AZ102" si="392">AN101*(1+$G$1)^10</f>
        <v>404354.67459987197</v>
      </c>
      <c r="BA101" s="252">
        <f t="shared" ref="BA101:BA102" si="393">AO101*(1+$G$1)^10</f>
        <v>0</v>
      </c>
      <c r="BB101" s="252">
        <f t="shared" ref="BB101:BB102" si="394">AP101*(1+$G$1)^10</f>
        <v>0</v>
      </c>
      <c r="BC101" s="252">
        <f t="shared" ref="BC101:BC102" si="395">AQ101*(1+$G$1)^10</f>
        <v>0</v>
      </c>
      <c r="BK101" s="252">
        <f>AY101*(1+$G$1)^10</f>
        <v>0</v>
      </c>
      <c r="BL101" s="252">
        <f t="shared" ref="BL101:BL102" si="396">AZ101*(1+$G$1)^10</f>
        <v>446659.12007646664</v>
      </c>
    </row>
    <row r="102" spans="2:64" ht="12.75" customHeight="1" thickBot="1">
      <c r="B102" s="315"/>
      <c r="C102" s="231" t="s">
        <v>167</v>
      </c>
      <c r="D102" s="219" t="s">
        <v>133</v>
      </c>
      <c r="E102" s="230">
        <v>10</v>
      </c>
      <c r="F102" s="231" t="s">
        <v>149</v>
      </c>
      <c r="G102" s="232"/>
      <c r="H102" s="232">
        <v>1</v>
      </c>
      <c r="I102" s="232">
        <v>1</v>
      </c>
      <c r="J102" s="232"/>
      <c r="K102" s="232"/>
      <c r="L102" s="233">
        <v>2</v>
      </c>
      <c r="M102" s="234">
        <v>150000</v>
      </c>
      <c r="N102" s="235">
        <v>0</v>
      </c>
      <c r="O102" s="235">
        <v>150000</v>
      </c>
      <c r="P102" s="235">
        <v>150000</v>
      </c>
      <c r="Q102" s="235">
        <v>0</v>
      </c>
      <c r="R102" s="235">
        <v>0</v>
      </c>
      <c r="S102" s="230">
        <v>10</v>
      </c>
      <c r="AA102" s="252">
        <f>N102*(1+$G$1)^10</f>
        <v>0</v>
      </c>
      <c r="AB102" s="252">
        <f t="shared" si="385"/>
        <v>165693.31881168071</v>
      </c>
      <c r="AC102" s="252">
        <f>P102*(1+$G$1)^10</f>
        <v>165693.31881168071</v>
      </c>
      <c r="AD102" s="252">
        <f t="shared" si="386"/>
        <v>0</v>
      </c>
      <c r="AE102" s="252">
        <f t="shared" si="387"/>
        <v>0</v>
      </c>
      <c r="AM102" s="252">
        <f>AA102*(1+$G$1)^10</f>
        <v>0</v>
      </c>
      <c r="AN102" s="252">
        <f t="shared" si="388"/>
        <v>183028.5059921951</v>
      </c>
      <c r="AO102" s="252">
        <f t="shared" si="389"/>
        <v>183028.5059921951</v>
      </c>
      <c r="AP102" s="252">
        <f t="shared" si="390"/>
        <v>0</v>
      </c>
      <c r="AQ102" s="252">
        <f t="shared" si="391"/>
        <v>0</v>
      </c>
      <c r="AY102" s="252">
        <f>AM102*(1+$G$1)^10</f>
        <v>0</v>
      </c>
      <c r="AZ102" s="252">
        <f t="shared" si="392"/>
        <v>202177.33729993599</v>
      </c>
      <c r="BA102" s="252">
        <f t="shared" si="393"/>
        <v>202177.33729993599</v>
      </c>
      <c r="BB102" s="252">
        <f t="shared" si="394"/>
        <v>0</v>
      </c>
      <c r="BC102" s="252">
        <f t="shared" si="395"/>
        <v>0</v>
      </c>
      <c r="BK102" s="252">
        <f>AY102*(1+$G$1)^10</f>
        <v>0</v>
      </c>
      <c r="BL102" s="252">
        <f t="shared" si="396"/>
        <v>223329.56003823332</v>
      </c>
    </row>
    <row r="104" spans="2:64" ht="12.75" customHeight="1" thickBot="1">
      <c r="B104" s="237" t="s">
        <v>3</v>
      </c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</row>
    <row r="105" spans="2:64" ht="12.75" customHeight="1">
      <c r="B105" s="212" t="s">
        <v>113</v>
      </c>
      <c r="C105" s="213" t="s">
        <v>114</v>
      </c>
      <c r="D105" s="213" t="s">
        <v>115</v>
      </c>
      <c r="E105" s="213" t="s">
        <v>116</v>
      </c>
      <c r="F105" s="213" t="s">
        <v>117</v>
      </c>
      <c r="G105" s="214">
        <v>2021</v>
      </c>
      <c r="H105" s="214">
        <v>2022</v>
      </c>
      <c r="I105" s="214">
        <v>2023</v>
      </c>
      <c r="J105" s="214">
        <v>2024</v>
      </c>
      <c r="K105" s="214">
        <v>2025</v>
      </c>
      <c r="L105" s="215" t="s">
        <v>118</v>
      </c>
      <c r="M105" s="216" t="s">
        <v>119</v>
      </c>
      <c r="N105" s="217" t="s">
        <v>120</v>
      </c>
      <c r="O105" s="217" t="s">
        <v>121</v>
      </c>
      <c r="P105" s="217" t="s">
        <v>122</v>
      </c>
      <c r="Q105" s="217" t="s">
        <v>123</v>
      </c>
      <c r="R105" s="218" t="s">
        <v>124</v>
      </c>
      <c r="S105" s="213" t="s">
        <v>116</v>
      </c>
    </row>
    <row r="106" spans="2:64" ht="12.75" customHeight="1">
      <c r="B106" s="311" t="s">
        <v>125</v>
      </c>
      <c r="C106" s="219" t="s">
        <v>172</v>
      </c>
      <c r="D106" s="219" t="s">
        <v>133</v>
      </c>
      <c r="E106" s="220">
        <v>10</v>
      </c>
      <c r="F106" s="219" t="s">
        <v>127</v>
      </c>
      <c r="G106" s="238">
        <v>4</v>
      </c>
      <c r="H106" s="238"/>
      <c r="I106" s="238"/>
      <c r="J106" s="238"/>
      <c r="K106" s="238"/>
      <c r="L106" s="222">
        <v>4</v>
      </c>
      <c r="M106" s="223">
        <v>60000</v>
      </c>
      <c r="N106" s="224">
        <v>240000</v>
      </c>
      <c r="O106" s="224">
        <v>0</v>
      </c>
      <c r="P106" s="224">
        <v>0</v>
      </c>
      <c r="Q106" s="224">
        <v>0</v>
      </c>
      <c r="R106" s="225">
        <v>0</v>
      </c>
      <c r="S106" s="220">
        <v>10</v>
      </c>
      <c r="AA106" s="252">
        <f>N106*(1+$G$1)^10</f>
        <v>265109.31009868917</v>
      </c>
      <c r="AB106" s="252">
        <f t="shared" ref="AB106" si="397">O106*(1+$G$1)^10</f>
        <v>0</v>
      </c>
      <c r="AC106" s="252">
        <f>P106*(1+$G$1)^10</f>
        <v>0</v>
      </c>
      <c r="AD106" s="252">
        <f t="shared" ref="AD106" si="398">Q106*(1+$G$1)^10</f>
        <v>0</v>
      </c>
      <c r="AE106" s="252">
        <f t="shared" ref="AE106" si="399">R106*(1+$G$1)^10</f>
        <v>0</v>
      </c>
      <c r="AM106" s="252">
        <f>AA106*(1+$G$1)^10</f>
        <v>292845.60958751221</v>
      </c>
      <c r="AN106" s="252">
        <f t="shared" ref="AN106" si="400">AB106*(1+$G$1)^10</f>
        <v>0</v>
      </c>
      <c r="AO106" s="252">
        <f t="shared" ref="AO106" si="401">AC106*(1+$G$1)^10</f>
        <v>0</v>
      </c>
      <c r="AP106" s="252">
        <f t="shared" ref="AP106" si="402">AD106*(1+$G$1)^10</f>
        <v>0</v>
      </c>
      <c r="AQ106" s="252">
        <f t="shared" ref="AQ106" si="403">AE106*(1+$G$1)^10</f>
        <v>0</v>
      </c>
      <c r="AY106" s="252">
        <f>AM106*(1+$G$1)^10</f>
        <v>323483.73967989761</v>
      </c>
      <c r="AZ106" s="252">
        <f t="shared" ref="AZ106" si="404">AN106*(1+$G$1)^10</f>
        <v>0</v>
      </c>
      <c r="BA106" s="252">
        <f t="shared" ref="BA106" si="405">AO106*(1+$G$1)^10</f>
        <v>0</v>
      </c>
      <c r="BB106" s="252">
        <f t="shared" ref="BB106" si="406">AP106*(1+$G$1)^10</f>
        <v>0</v>
      </c>
      <c r="BC106" s="252">
        <f t="shared" ref="BC106" si="407">AQ106*(1+$G$1)^10</f>
        <v>0</v>
      </c>
      <c r="BK106" s="252">
        <f>AY106*(1+$G$1)^10</f>
        <v>357327.29606117337</v>
      </c>
      <c r="BL106" s="252">
        <f t="shared" ref="BL106" si="408">AZ106*(1+$G$1)^10</f>
        <v>0</v>
      </c>
    </row>
    <row r="107" spans="2:64" ht="12.75" customHeight="1">
      <c r="B107" s="311"/>
      <c r="C107" s="219" t="s">
        <v>173</v>
      </c>
      <c r="D107" s="219" t="s">
        <v>170</v>
      </c>
      <c r="E107" s="220"/>
      <c r="F107" s="219" t="s">
        <v>130</v>
      </c>
      <c r="G107" s="238"/>
      <c r="H107" s="238"/>
      <c r="I107" s="238"/>
      <c r="J107" s="238"/>
      <c r="K107" s="238"/>
      <c r="L107" s="222">
        <v>0</v>
      </c>
      <c r="M107" s="223">
        <v>500000</v>
      </c>
      <c r="N107" s="224">
        <v>0</v>
      </c>
      <c r="O107" s="224">
        <v>0</v>
      </c>
      <c r="P107" s="224">
        <v>0</v>
      </c>
      <c r="Q107" s="224">
        <v>0</v>
      </c>
      <c r="R107" s="225">
        <v>0</v>
      </c>
      <c r="S107" s="220"/>
    </row>
    <row r="108" spans="2:64" ht="12.75" customHeight="1">
      <c r="B108" s="311"/>
      <c r="C108" s="219" t="s">
        <v>174</v>
      </c>
      <c r="D108" s="219" t="s">
        <v>133</v>
      </c>
      <c r="E108" s="220">
        <v>10</v>
      </c>
      <c r="F108" s="219" t="s">
        <v>127</v>
      </c>
      <c r="G108" s="238">
        <v>10</v>
      </c>
      <c r="H108" s="238">
        <v>10</v>
      </c>
      <c r="I108" s="238"/>
      <c r="J108" s="238"/>
      <c r="K108" s="238"/>
      <c r="L108" s="222">
        <v>20</v>
      </c>
      <c r="M108" s="223">
        <v>15000</v>
      </c>
      <c r="N108" s="224">
        <v>150000</v>
      </c>
      <c r="O108" s="224">
        <v>150000</v>
      </c>
      <c r="P108" s="224">
        <v>0</v>
      </c>
      <c r="Q108" s="224">
        <v>0</v>
      </c>
      <c r="R108" s="225">
        <v>0</v>
      </c>
      <c r="S108" s="220">
        <v>10</v>
      </c>
      <c r="AA108" s="252">
        <f t="shared" ref="AA108:AA115" si="409">N108*(1+$G$1)^10</f>
        <v>165693.31881168071</v>
      </c>
      <c r="AB108" s="252">
        <f t="shared" ref="AB108:AB115" si="410">O108*(1+$G$1)^10</f>
        <v>165693.31881168071</v>
      </c>
      <c r="AC108" s="252">
        <f t="shared" ref="AC108:AC115" si="411">P108*(1+$G$1)^10</f>
        <v>0</v>
      </c>
      <c r="AD108" s="252">
        <f t="shared" ref="AD108:AD115" si="412">Q108*(1+$G$1)^10</f>
        <v>0</v>
      </c>
      <c r="AE108" s="252">
        <f t="shared" ref="AE108:AE115" si="413">R108*(1+$G$1)^10</f>
        <v>0</v>
      </c>
      <c r="AM108" s="252">
        <f t="shared" ref="AM108:AM115" si="414">AA108*(1+$G$1)^10</f>
        <v>183028.5059921951</v>
      </c>
      <c r="AN108" s="252">
        <f t="shared" ref="AN108:AN115" si="415">AB108*(1+$G$1)^10</f>
        <v>183028.5059921951</v>
      </c>
      <c r="AO108" s="252">
        <f t="shared" ref="AO108:AO115" si="416">AC108*(1+$G$1)^10</f>
        <v>0</v>
      </c>
      <c r="AP108" s="252">
        <f t="shared" ref="AP108:AP115" si="417">AD108*(1+$G$1)^10</f>
        <v>0</v>
      </c>
      <c r="AQ108" s="252">
        <f t="shared" ref="AQ108:AQ115" si="418">AE108*(1+$G$1)^10</f>
        <v>0</v>
      </c>
      <c r="AY108" s="252">
        <f t="shared" ref="AY108:AY115" si="419">AM108*(1+$G$1)^10</f>
        <v>202177.33729993599</v>
      </c>
      <c r="AZ108" s="252">
        <f t="shared" ref="AZ108:AZ115" si="420">AN108*(1+$G$1)^10</f>
        <v>202177.33729993599</v>
      </c>
      <c r="BA108" s="252">
        <f t="shared" ref="BA108:BA115" si="421">AO108*(1+$G$1)^10</f>
        <v>0</v>
      </c>
      <c r="BB108" s="252">
        <f t="shared" ref="BB108:BB115" si="422">AP108*(1+$G$1)^10</f>
        <v>0</v>
      </c>
      <c r="BC108" s="252">
        <f t="shared" ref="BC108:BC115" si="423">AQ108*(1+$G$1)^10</f>
        <v>0</v>
      </c>
      <c r="BK108" s="252">
        <f t="shared" ref="BK108:BK115" si="424">AY108*(1+$G$1)^10</f>
        <v>223329.56003823332</v>
      </c>
      <c r="BL108" s="252">
        <f t="shared" ref="BL108:BL115" si="425">AZ108*(1+$G$1)^10</f>
        <v>223329.56003823332</v>
      </c>
    </row>
    <row r="109" spans="2:64" ht="12.75" customHeight="1">
      <c r="B109" s="311"/>
      <c r="C109" s="219" t="s">
        <v>134</v>
      </c>
      <c r="D109" s="219" t="s">
        <v>133</v>
      </c>
      <c r="E109" s="220">
        <v>10</v>
      </c>
      <c r="F109" s="219" t="s">
        <v>127</v>
      </c>
      <c r="G109" s="221">
        <v>25</v>
      </c>
      <c r="H109" s="221">
        <v>25</v>
      </c>
      <c r="I109" s="221">
        <v>25</v>
      </c>
      <c r="J109" s="221"/>
      <c r="K109" s="221"/>
      <c r="L109" s="222">
        <v>75</v>
      </c>
      <c r="M109" s="223">
        <v>500</v>
      </c>
      <c r="N109" s="224">
        <v>12500</v>
      </c>
      <c r="O109" s="224">
        <v>12500</v>
      </c>
      <c r="P109" s="224">
        <v>12500</v>
      </c>
      <c r="Q109" s="224">
        <v>0</v>
      </c>
      <c r="R109" s="225">
        <v>0</v>
      </c>
      <c r="S109" s="220">
        <v>10</v>
      </c>
      <c r="AA109" s="252">
        <f t="shared" si="409"/>
        <v>13807.77656764006</v>
      </c>
      <c r="AB109" s="252">
        <f t="shared" si="410"/>
        <v>13807.77656764006</v>
      </c>
      <c r="AC109" s="252">
        <f t="shared" si="411"/>
        <v>13807.77656764006</v>
      </c>
      <c r="AD109" s="252">
        <f t="shared" si="412"/>
        <v>0</v>
      </c>
      <c r="AE109" s="252">
        <f t="shared" si="413"/>
        <v>0</v>
      </c>
      <c r="AM109" s="252">
        <f t="shared" si="414"/>
        <v>15252.375499349591</v>
      </c>
      <c r="AN109" s="252">
        <f t="shared" si="415"/>
        <v>15252.375499349591</v>
      </c>
      <c r="AO109" s="252">
        <f t="shared" si="416"/>
        <v>15252.375499349591</v>
      </c>
      <c r="AP109" s="252">
        <f t="shared" si="417"/>
        <v>0</v>
      </c>
      <c r="AQ109" s="252">
        <f t="shared" si="418"/>
        <v>0</v>
      </c>
      <c r="AY109" s="252">
        <f t="shared" si="419"/>
        <v>16848.111441661331</v>
      </c>
      <c r="AZ109" s="252">
        <f t="shared" si="420"/>
        <v>16848.111441661331</v>
      </c>
      <c r="BA109" s="252">
        <f t="shared" si="421"/>
        <v>16848.111441661331</v>
      </c>
      <c r="BB109" s="252">
        <f t="shared" si="422"/>
        <v>0</v>
      </c>
      <c r="BC109" s="252">
        <f t="shared" si="423"/>
        <v>0</v>
      </c>
      <c r="BK109" s="252">
        <f t="shared" si="424"/>
        <v>18610.796669852778</v>
      </c>
      <c r="BL109" s="252">
        <f t="shared" si="425"/>
        <v>18610.796669852778</v>
      </c>
    </row>
    <row r="110" spans="2:64" ht="12.75" customHeight="1">
      <c r="B110" s="311"/>
      <c r="C110" s="219" t="s">
        <v>135</v>
      </c>
      <c r="D110" s="219" t="s">
        <v>133</v>
      </c>
      <c r="E110" s="220">
        <v>10</v>
      </c>
      <c r="F110" s="219" t="s">
        <v>127</v>
      </c>
      <c r="G110" s="221">
        <v>5</v>
      </c>
      <c r="H110" s="221">
        <v>5</v>
      </c>
      <c r="I110" s="221">
        <v>5</v>
      </c>
      <c r="J110" s="221"/>
      <c r="K110" s="221"/>
      <c r="L110" s="222">
        <v>15</v>
      </c>
      <c r="M110" s="223">
        <v>5000</v>
      </c>
      <c r="N110" s="224">
        <v>25000</v>
      </c>
      <c r="O110" s="224">
        <v>25000</v>
      </c>
      <c r="P110" s="224">
        <v>25000</v>
      </c>
      <c r="Q110" s="224">
        <v>0</v>
      </c>
      <c r="R110" s="225">
        <v>0</v>
      </c>
      <c r="S110" s="220">
        <v>10</v>
      </c>
      <c r="AA110" s="252">
        <f t="shared" si="409"/>
        <v>27615.553135280119</v>
      </c>
      <c r="AB110" s="252">
        <f t="shared" si="410"/>
        <v>27615.553135280119</v>
      </c>
      <c r="AC110" s="252">
        <f t="shared" si="411"/>
        <v>27615.553135280119</v>
      </c>
      <c r="AD110" s="252">
        <f t="shared" si="412"/>
        <v>0</v>
      </c>
      <c r="AE110" s="252">
        <f t="shared" si="413"/>
        <v>0</v>
      </c>
      <c r="AM110" s="252">
        <f t="shared" si="414"/>
        <v>30504.750998699183</v>
      </c>
      <c r="AN110" s="252">
        <f t="shared" si="415"/>
        <v>30504.750998699183</v>
      </c>
      <c r="AO110" s="252">
        <f t="shared" si="416"/>
        <v>30504.750998699183</v>
      </c>
      <c r="AP110" s="252">
        <f t="shared" si="417"/>
        <v>0</v>
      </c>
      <c r="AQ110" s="252">
        <f t="shared" si="418"/>
        <v>0</v>
      </c>
      <c r="AY110" s="252">
        <f t="shared" si="419"/>
        <v>33696.222883322662</v>
      </c>
      <c r="AZ110" s="252">
        <f t="shared" si="420"/>
        <v>33696.222883322662</v>
      </c>
      <c r="BA110" s="252">
        <f t="shared" si="421"/>
        <v>33696.222883322662</v>
      </c>
      <c r="BB110" s="252">
        <f t="shared" si="422"/>
        <v>0</v>
      </c>
      <c r="BC110" s="252">
        <f t="shared" si="423"/>
        <v>0</v>
      </c>
      <c r="BK110" s="252">
        <f t="shared" si="424"/>
        <v>37221.593339705556</v>
      </c>
      <c r="BL110" s="252">
        <f t="shared" si="425"/>
        <v>37221.593339705556</v>
      </c>
    </row>
    <row r="111" spans="2:64" ht="12.75" customHeight="1">
      <c r="B111" s="311"/>
      <c r="C111" s="219" t="s">
        <v>136</v>
      </c>
      <c r="D111" s="219" t="s">
        <v>133</v>
      </c>
      <c r="E111" s="220">
        <v>10</v>
      </c>
      <c r="F111" s="219" t="s">
        <v>127</v>
      </c>
      <c r="G111" s="221">
        <v>1</v>
      </c>
      <c r="H111" s="221">
        <v>0</v>
      </c>
      <c r="I111" s="221"/>
      <c r="J111" s="221"/>
      <c r="K111" s="221"/>
      <c r="L111" s="222">
        <v>1</v>
      </c>
      <c r="M111" s="223">
        <v>50000</v>
      </c>
      <c r="N111" s="224">
        <v>50000</v>
      </c>
      <c r="O111" s="224">
        <v>0</v>
      </c>
      <c r="P111" s="224">
        <v>0</v>
      </c>
      <c r="Q111" s="224">
        <v>0</v>
      </c>
      <c r="R111" s="225">
        <v>0</v>
      </c>
      <c r="S111" s="220">
        <v>10</v>
      </c>
      <c r="AA111" s="252">
        <f t="shared" si="409"/>
        <v>55231.106270560238</v>
      </c>
      <c r="AB111" s="252">
        <f t="shared" si="410"/>
        <v>0</v>
      </c>
      <c r="AC111" s="252">
        <f t="shared" si="411"/>
        <v>0</v>
      </c>
      <c r="AD111" s="252">
        <f t="shared" si="412"/>
        <v>0</v>
      </c>
      <c r="AE111" s="252">
        <f t="shared" si="413"/>
        <v>0</v>
      </c>
      <c r="AM111" s="252">
        <f t="shared" si="414"/>
        <v>61009.501997398365</v>
      </c>
      <c r="AN111" s="252">
        <f t="shared" si="415"/>
        <v>0</v>
      </c>
      <c r="AO111" s="252">
        <f t="shared" si="416"/>
        <v>0</v>
      </c>
      <c r="AP111" s="252">
        <f t="shared" si="417"/>
        <v>0</v>
      </c>
      <c r="AQ111" s="252">
        <f t="shared" si="418"/>
        <v>0</v>
      </c>
      <c r="AY111" s="252">
        <f t="shared" si="419"/>
        <v>67392.445766645324</v>
      </c>
      <c r="AZ111" s="252">
        <f t="shared" si="420"/>
        <v>0</v>
      </c>
      <c r="BA111" s="252">
        <f t="shared" si="421"/>
        <v>0</v>
      </c>
      <c r="BB111" s="252">
        <f t="shared" si="422"/>
        <v>0</v>
      </c>
      <c r="BC111" s="252">
        <f t="shared" si="423"/>
        <v>0</v>
      </c>
      <c r="BK111" s="252">
        <f t="shared" si="424"/>
        <v>74443.186679411112</v>
      </c>
      <c r="BL111" s="252">
        <f t="shared" si="425"/>
        <v>0</v>
      </c>
    </row>
    <row r="112" spans="2:64" ht="12.75" customHeight="1">
      <c r="B112" s="311"/>
      <c r="C112" s="219" t="s">
        <v>137</v>
      </c>
      <c r="D112" s="219" t="s">
        <v>133</v>
      </c>
      <c r="E112" s="220">
        <v>10</v>
      </c>
      <c r="F112" s="219" t="s">
        <v>127</v>
      </c>
      <c r="G112" s="221"/>
      <c r="H112" s="221">
        <v>1</v>
      </c>
      <c r="I112" s="221"/>
      <c r="J112" s="221"/>
      <c r="K112" s="221"/>
      <c r="L112" s="222">
        <v>1</v>
      </c>
      <c r="M112" s="223">
        <v>6000</v>
      </c>
      <c r="N112" s="224">
        <v>0</v>
      </c>
      <c r="O112" s="224">
        <v>6000</v>
      </c>
      <c r="P112" s="224">
        <v>0</v>
      </c>
      <c r="Q112" s="224">
        <v>0</v>
      </c>
      <c r="R112" s="225">
        <v>0</v>
      </c>
      <c r="S112" s="220">
        <v>10</v>
      </c>
      <c r="AA112" s="252">
        <f t="shared" si="409"/>
        <v>0</v>
      </c>
      <c r="AB112" s="252">
        <f t="shared" si="410"/>
        <v>6627.7327524672282</v>
      </c>
      <c r="AC112" s="252">
        <f t="shared" si="411"/>
        <v>0</v>
      </c>
      <c r="AD112" s="252">
        <f t="shared" si="412"/>
        <v>0</v>
      </c>
      <c r="AE112" s="252">
        <f t="shared" si="413"/>
        <v>0</v>
      </c>
      <c r="AM112" s="252">
        <f t="shared" si="414"/>
        <v>0</v>
      </c>
      <c r="AN112" s="252">
        <f t="shared" si="415"/>
        <v>7321.1402396878038</v>
      </c>
      <c r="AO112" s="252">
        <f t="shared" si="416"/>
        <v>0</v>
      </c>
      <c r="AP112" s="252">
        <f t="shared" si="417"/>
        <v>0</v>
      </c>
      <c r="AQ112" s="252">
        <f t="shared" si="418"/>
        <v>0</v>
      </c>
      <c r="AY112" s="252">
        <f t="shared" si="419"/>
        <v>0</v>
      </c>
      <c r="AZ112" s="252">
        <f t="shared" si="420"/>
        <v>8087.0934919974388</v>
      </c>
      <c r="BA112" s="252">
        <f t="shared" si="421"/>
        <v>0</v>
      </c>
      <c r="BB112" s="252">
        <f t="shared" si="422"/>
        <v>0</v>
      </c>
      <c r="BC112" s="252">
        <f t="shared" si="423"/>
        <v>0</v>
      </c>
      <c r="BK112" s="252">
        <f t="shared" si="424"/>
        <v>0</v>
      </c>
      <c r="BL112" s="252">
        <f t="shared" si="425"/>
        <v>8933.1824015293332</v>
      </c>
    </row>
    <row r="113" spans="2:64" ht="12.75" customHeight="1">
      <c r="B113" s="311"/>
      <c r="C113" s="219" t="s">
        <v>138</v>
      </c>
      <c r="D113" s="219" t="s">
        <v>133</v>
      </c>
      <c r="E113" s="220">
        <v>10</v>
      </c>
      <c r="F113" s="219" t="s">
        <v>127</v>
      </c>
      <c r="G113" s="221">
        <v>1</v>
      </c>
      <c r="H113" s="221"/>
      <c r="I113" s="221"/>
      <c r="J113" s="221"/>
      <c r="K113" s="221"/>
      <c r="L113" s="222">
        <v>1</v>
      </c>
      <c r="M113" s="223">
        <v>20000</v>
      </c>
      <c r="N113" s="224">
        <v>20000</v>
      </c>
      <c r="O113" s="224">
        <v>0</v>
      </c>
      <c r="P113" s="224">
        <v>0</v>
      </c>
      <c r="Q113" s="224">
        <v>0</v>
      </c>
      <c r="R113" s="225">
        <v>0</v>
      </c>
      <c r="S113" s="220">
        <v>10</v>
      </c>
      <c r="AA113" s="252">
        <f t="shared" si="409"/>
        <v>22092.442508224096</v>
      </c>
      <c r="AB113" s="252">
        <f t="shared" si="410"/>
        <v>0</v>
      </c>
      <c r="AC113" s="252">
        <f t="shared" si="411"/>
        <v>0</v>
      </c>
      <c r="AD113" s="252">
        <f t="shared" si="412"/>
        <v>0</v>
      </c>
      <c r="AE113" s="252">
        <f t="shared" si="413"/>
        <v>0</v>
      </c>
      <c r="AM113" s="252">
        <f t="shared" si="414"/>
        <v>24403.80079895935</v>
      </c>
      <c r="AN113" s="252">
        <f t="shared" si="415"/>
        <v>0</v>
      </c>
      <c r="AO113" s="252">
        <f t="shared" si="416"/>
        <v>0</v>
      </c>
      <c r="AP113" s="252">
        <f t="shared" si="417"/>
        <v>0</v>
      </c>
      <c r="AQ113" s="252">
        <f t="shared" si="418"/>
        <v>0</v>
      </c>
      <c r="AY113" s="252">
        <f t="shared" si="419"/>
        <v>26956.978306658133</v>
      </c>
      <c r="AZ113" s="252">
        <f t="shared" si="420"/>
        <v>0</v>
      </c>
      <c r="BA113" s="252">
        <f t="shared" si="421"/>
        <v>0</v>
      </c>
      <c r="BB113" s="252">
        <f t="shared" si="422"/>
        <v>0</v>
      </c>
      <c r="BC113" s="252">
        <f t="shared" si="423"/>
        <v>0</v>
      </c>
      <c r="BK113" s="252">
        <f t="shared" si="424"/>
        <v>29777.274671764448</v>
      </c>
      <c r="BL113" s="252">
        <f t="shared" si="425"/>
        <v>0</v>
      </c>
    </row>
    <row r="114" spans="2:64" ht="12.75" customHeight="1">
      <c r="B114" s="311"/>
      <c r="C114" s="239" t="s">
        <v>139</v>
      </c>
      <c r="D114" s="219" t="s">
        <v>133</v>
      </c>
      <c r="E114" s="220">
        <v>10</v>
      </c>
      <c r="F114" s="219" t="s">
        <v>127</v>
      </c>
      <c r="G114" s="221">
        <v>1</v>
      </c>
      <c r="H114" s="221">
        <v>1</v>
      </c>
      <c r="I114" s="221"/>
      <c r="J114" s="221"/>
      <c r="K114" s="221"/>
      <c r="L114" s="222">
        <v>2</v>
      </c>
      <c r="M114" s="223">
        <v>20000</v>
      </c>
      <c r="N114" s="224">
        <v>20000</v>
      </c>
      <c r="O114" s="224">
        <v>20000</v>
      </c>
      <c r="P114" s="224">
        <v>0</v>
      </c>
      <c r="Q114" s="224">
        <v>0</v>
      </c>
      <c r="R114" s="225">
        <v>0</v>
      </c>
      <c r="S114" s="220">
        <v>10</v>
      </c>
      <c r="AA114" s="252">
        <f t="shared" si="409"/>
        <v>22092.442508224096</v>
      </c>
      <c r="AB114" s="252">
        <f t="shared" si="410"/>
        <v>22092.442508224096</v>
      </c>
      <c r="AC114" s="252">
        <f t="shared" si="411"/>
        <v>0</v>
      </c>
      <c r="AD114" s="252">
        <f t="shared" si="412"/>
        <v>0</v>
      </c>
      <c r="AE114" s="252">
        <f t="shared" si="413"/>
        <v>0</v>
      </c>
      <c r="AM114" s="252">
        <f t="shared" si="414"/>
        <v>24403.80079895935</v>
      </c>
      <c r="AN114" s="252">
        <f t="shared" si="415"/>
        <v>24403.80079895935</v>
      </c>
      <c r="AO114" s="252">
        <f t="shared" si="416"/>
        <v>0</v>
      </c>
      <c r="AP114" s="252">
        <f t="shared" si="417"/>
        <v>0</v>
      </c>
      <c r="AQ114" s="252">
        <f t="shared" si="418"/>
        <v>0</v>
      </c>
      <c r="AY114" s="252">
        <f t="shared" si="419"/>
        <v>26956.978306658133</v>
      </c>
      <c r="AZ114" s="252">
        <f t="shared" si="420"/>
        <v>26956.978306658133</v>
      </c>
      <c r="BA114" s="252">
        <f t="shared" si="421"/>
        <v>0</v>
      </c>
      <c r="BB114" s="252">
        <f t="shared" si="422"/>
        <v>0</v>
      </c>
      <c r="BC114" s="252">
        <f t="shared" si="423"/>
        <v>0</v>
      </c>
      <c r="BK114" s="252">
        <f t="shared" si="424"/>
        <v>29777.274671764448</v>
      </c>
      <c r="BL114" s="252">
        <f t="shared" si="425"/>
        <v>29777.274671764448</v>
      </c>
    </row>
    <row r="115" spans="2:64" ht="12.75" customHeight="1">
      <c r="B115" s="311"/>
      <c r="C115" s="219" t="s">
        <v>175</v>
      </c>
      <c r="D115" s="219" t="s">
        <v>133</v>
      </c>
      <c r="E115" s="220">
        <v>10</v>
      </c>
      <c r="F115" s="219" t="s">
        <v>127</v>
      </c>
      <c r="G115" s="221"/>
      <c r="H115" s="221">
        <v>1</v>
      </c>
      <c r="I115" s="221"/>
      <c r="J115" s="221"/>
      <c r="K115" s="221"/>
      <c r="L115" s="222">
        <v>1</v>
      </c>
      <c r="M115" s="223">
        <v>10000</v>
      </c>
      <c r="N115" s="224">
        <v>0</v>
      </c>
      <c r="O115" s="224">
        <v>10000</v>
      </c>
      <c r="P115" s="224">
        <v>0</v>
      </c>
      <c r="Q115" s="224">
        <v>0</v>
      </c>
      <c r="R115" s="225">
        <v>0</v>
      </c>
      <c r="S115" s="220">
        <v>10</v>
      </c>
      <c r="AA115" s="252">
        <f t="shared" si="409"/>
        <v>0</v>
      </c>
      <c r="AB115" s="252">
        <f t="shared" si="410"/>
        <v>11046.221254112048</v>
      </c>
      <c r="AC115" s="252">
        <f t="shared" si="411"/>
        <v>0</v>
      </c>
      <c r="AD115" s="252">
        <f t="shared" si="412"/>
        <v>0</v>
      </c>
      <c r="AE115" s="252">
        <f t="shared" si="413"/>
        <v>0</v>
      </c>
      <c r="AM115" s="252">
        <f t="shared" si="414"/>
        <v>0</v>
      </c>
      <c r="AN115" s="252">
        <f t="shared" si="415"/>
        <v>12201.900399479675</v>
      </c>
      <c r="AO115" s="252">
        <f t="shared" si="416"/>
        <v>0</v>
      </c>
      <c r="AP115" s="252">
        <f t="shared" si="417"/>
        <v>0</v>
      </c>
      <c r="AQ115" s="252">
        <f t="shared" si="418"/>
        <v>0</v>
      </c>
      <c r="AY115" s="252">
        <f t="shared" si="419"/>
        <v>0</v>
      </c>
      <c r="AZ115" s="252">
        <f t="shared" si="420"/>
        <v>13478.489153329067</v>
      </c>
      <c r="BA115" s="252">
        <f t="shared" si="421"/>
        <v>0</v>
      </c>
      <c r="BB115" s="252">
        <f t="shared" si="422"/>
        <v>0</v>
      </c>
      <c r="BC115" s="252">
        <f t="shared" si="423"/>
        <v>0</v>
      </c>
      <c r="BK115" s="252">
        <f t="shared" si="424"/>
        <v>0</v>
      </c>
      <c r="BL115" s="252">
        <f t="shared" si="425"/>
        <v>14888.637335882224</v>
      </c>
    </row>
    <row r="116" spans="2:64" ht="12.75" customHeight="1">
      <c r="B116" s="311"/>
      <c r="C116" s="219" t="s">
        <v>176</v>
      </c>
      <c r="D116" s="219" t="s">
        <v>133</v>
      </c>
      <c r="E116" s="220">
        <v>5</v>
      </c>
      <c r="F116" s="219" t="s">
        <v>127</v>
      </c>
      <c r="G116" s="238">
        <v>1</v>
      </c>
      <c r="H116" s="238">
        <v>2</v>
      </c>
      <c r="I116" s="238"/>
      <c r="J116" s="238"/>
      <c r="K116" s="238"/>
      <c r="L116" s="222">
        <v>3</v>
      </c>
      <c r="M116" s="223">
        <v>36000</v>
      </c>
      <c r="N116" s="224">
        <v>36000</v>
      </c>
      <c r="O116" s="224">
        <v>72000</v>
      </c>
      <c r="P116" s="224">
        <v>0</v>
      </c>
      <c r="Q116" s="224">
        <v>0</v>
      </c>
      <c r="R116" s="225">
        <v>0</v>
      </c>
      <c r="S116" s="220">
        <v>5</v>
      </c>
      <c r="U116" s="252">
        <f>N116*(1+$G$1)^5</f>
        <v>37836.361803599997</v>
      </c>
      <c r="V116" s="252">
        <f t="shared" ref="V116" si="426">O116*(1+$G$1)^5</f>
        <v>75672.723607199994</v>
      </c>
      <c r="W116" s="252">
        <f t="shared" ref="W116" si="427">P116*(1+$G$1)^5</f>
        <v>0</v>
      </c>
      <c r="X116" s="252">
        <f t="shared" ref="X116" si="428">Q116*(1+$G$1)^5</f>
        <v>0</v>
      </c>
      <c r="Y116" s="252">
        <f t="shared" ref="Y116" si="429">R116*(1+$G$1)^5</f>
        <v>0</v>
      </c>
      <c r="Z116" s="252">
        <f>U116*(1+$G$1)^5</f>
        <v>39766.396514803353</v>
      </c>
      <c r="AA116" s="252">
        <f t="shared" ref="AA116" si="430">T116*(1+$G$1)^5</f>
        <v>0</v>
      </c>
      <c r="AB116" s="252">
        <f t="shared" ref="AB116" si="431">U116*(1+$G$1)^5</f>
        <v>39766.396514803353</v>
      </c>
      <c r="AC116" s="252">
        <f t="shared" ref="AC116" si="432">V116*(1+$G$1)^5</f>
        <v>79532.793029606706</v>
      </c>
      <c r="AD116" s="252">
        <f t="shared" ref="AD116" si="433">W116*(1+$G$1)^5</f>
        <v>0</v>
      </c>
      <c r="AE116" s="252">
        <f>Z116*(1+$G$1)^5</f>
        <v>41794.882393319931</v>
      </c>
      <c r="AF116" s="252">
        <f t="shared" ref="AF116" si="434">Y116*(1+$G$1)^5</f>
        <v>0</v>
      </c>
      <c r="AG116" s="252">
        <f t="shared" ref="AG116" si="435">Z116*(1+$G$1)^5</f>
        <v>41794.882393319931</v>
      </c>
      <c r="AH116" s="252">
        <f t="shared" ref="AH116" si="436">AA116*(1+$G$1)^5</f>
        <v>0</v>
      </c>
      <c r="AI116" s="252">
        <f t="shared" ref="AI116" si="437">AB116*(1+$G$1)^5</f>
        <v>41794.882393319931</v>
      </c>
      <c r="AJ116" s="252">
        <f>AE116*(1+$G$1)^5</f>
        <v>43926.841438126787</v>
      </c>
      <c r="AK116" s="252">
        <f t="shared" ref="AK116" si="438">AD116*(1+$G$1)^5</f>
        <v>0</v>
      </c>
      <c r="AL116" s="252">
        <f t="shared" ref="AL116" si="439">AE116*(1+$G$1)^5</f>
        <v>43926.841438126787</v>
      </c>
      <c r="AM116" s="252">
        <f t="shared" ref="AM116" si="440">AF116*(1+$G$1)^5</f>
        <v>0</v>
      </c>
      <c r="AN116" s="252">
        <f t="shared" ref="AN116" si="441">AG116*(1+$G$1)^5</f>
        <v>43926.841438126787</v>
      </c>
      <c r="AO116" s="252">
        <f>AJ116*(1+$G$1)^5</f>
        <v>46167.551820620385</v>
      </c>
      <c r="AP116" s="252">
        <f t="shared" ref="AP116" si="442">AI116*(1+$G$1)^5</f>
        <v>43926.841438126787</v>
      </c>
      <c r="AQ116" s="252">
        <f t="shared" ref="AQ116" si="443">AJ116*(1+$G$1)^5</f>
        <v>46167.551820620385</v>
      </c>
      <c r="AR116" s="252">
        <f t="shared" ref="AR116" si="444">AK116*(1+$G$1)^5</f>
        <v>0</v>
      </c>
      <c r="AS116" s="252">
        <f t="shared" ref="AS116" si="445">AL116*(1+$G$1)^5</f>
        <v>46167.551820620385</v>
      </c>
      <c r="AT116" s="252">
        <f>AO116*(1+$G$1)^5</f>
        <v>48522.560951984575</v>
      </c>
      <c r="AU116" s="252">
        <f t="shared" ref="AU116" si="446">AN116*(1+$G$1)^5</f>
        <v>46167.551820620385</v>
      </c>
      <c r="AV116" s="252">
        <f t="shared" ref="AV116" si="447">AO116*(1+$G$1)^5</f>
        <v>48522.560951984575</v>
      </c>
      <c r="AW116" s="252">
        <f t="shared" ref="AW116" si="448">AP116*(1+$G$1)^5</f>
        <v>46167.551820620385</v>
      </c>
      <c r="AX116" s="252">
        <f t="shared" ref="AX116" si="449">AQ116*(1+$G$1)^5</f>
        <v>48522.560951984575</v>
      </c>
      <c r="AY116" s="252">
        <f>AT116*(1+$G$1)^5</f>
        <v>50997.699217125606</v>
      </c>
      <c r="AZ116" s="252">
        <f t="shared" ref="AZ116" si="450">AS116*(1+$G$1)^5</f>
        <v>48522.560951984575</v>
      </c>
      <c r="BA116" s="252">
        <f t="shared" ref="BA116" si="451">AT116*(1+$G$1)^5</f>
        <v>50997.699217125606</v>
      </c>
      <c r="BB116" s="252">
        <f t="shared" ref="BB116" si="452">AU116*(1+$G$1)^5</f>
        <v>48522.560951984575</v>
      </c>
      <c r="BC116" s="252">
        <f t="shared" ref="BC116" si="453">AV116*(1+$G$1)^5</f>
        <v>50997.699217125606</v>
      </c>
      <c r="BD116" s="252">
        <f>AY116*(1+$G$1)^5</f>
        <v>53599.094409175908</v>
      </c>
      <c r="BE116" s="252">
        <f t="shared" ref="BE116" si="454">AX116*(1+$G$1)^5</f>
        <v>50997.699217125606</v>
      </c>
      <c r="BF116" s="252">
        <f t="shared" ref="BF116" si="455">AY116*(1+$G$1)^5</f>
        <v>53599.094409175908</v>
      </c>
      <c r="BG116" s="252">
        <f t="shared" ref="BG116" si="456">AZ116*(1+$G$1)^5</f>
        <v>50997.699217125606</v>
      </c>
      <c r="BH116" s="252">
        <f t="shared" ref="BH116" si="457">BA116*(1+$G$1)^5</f>
        <v>53599.094409175908</v>
      </c>
      <c r="BI116" s="252">
        <f>BD116*(1+$G$1)^5</f>
        <v>56333.1869003026</v>
      </c>
      <c r="BJ116" s="252">
        <f t="shared" ref="BJ116" si="458">BC116*(1+$G$1)^5</f>
        <v>53599.094409175908</v>
      </c>
      <c r="BK116" s="252">
        <f t="shared" ref="BK116" si="459">BD116*(1+$G$1)^5</f>
        <v>56333.1869003026</v>
      </c>
      <c r="BL116" s="252">
        <f t="shared" ref="BL116" si="460">BE116*(1+$G$1)^5</f>
        <v>53599.094409175908</v>
      </c>
    </row>
    <row r="117" spans="2:64" ht="12.75" customHeight="1">
      <c r="B117" s="311"/>
      <c r="C117" s="226" t="s">
        <v>177</v>
      </c>
      <c r="D117" s="219" t="s">
        <v>133</v>
      </c>
      <c r="E117" s="220"/>
      <c r="F117" s="219" t="s">
        <v>127</v>
      </c>
      <c r="G117" s="238"/>
      <c r="H117" s="238">
        <v>2</v>
      </c>
      <c r="I117" s="238">
        <v>0</v>
      </c>
      <c r="J117" s="238"/>
      <c r="K117" s="238"/>
      <c r="L117" s="222">
        <v>2</v>
      </c>
      <c r="M117" s="223">
        <v>36000</v>
      </c>
      <c r="N117" s="224">
        <v>0</v>
      </c>
      <c r="O117" s="224">
        <v>72000</v>
      </c>
      <c r="P117" s="224">
        <v>0</v>
      </c>
      <c r="Q117" s="224">
        <v>0</v>
      </c>
      <c r="R117" s="225">
        <v>0</v>
      </c>
      <c r="S117" s="220"/>
    </row>
    <row r="118" spans="2:64" ht="12.75" customHeight="1">
      <c r="B118" s="311"/>
      <c r="C118" s="219" t="s">
        <v>178</v>
      </c>
      <c r="D118" s="219" t="s">
        <v>133</v>
      </c>
      <c r="E118" s="220">
        <v>10</v>
      </c>
      <c r="F118" s="219" t="s">
        <v>127</v>
      </c>
      <c r="G118" s="238"/>
      <c r="H118" s="238">
        <v>1</v>
      </c>
      <c r="I118" s="238"/>
      <c r="J118" s="238"/>
      <c r="K118" s="238"/>
      <c r="L118" s="222">
        <v>1</v>
      </c>
      <c r="M118" s="223">
        <v>36000</v>
      </c>
      <c r="N118" s="224">
        <v>0</v>
      </c>
      <c r="O118" s="224">
        <v>36000</v>
      </c>
      <c r="P118" s="224">
        <v>0</v>
      </c>
      <c r="Q118" s="224">
        <v>0</v>
      </c>
      <c r="R118" s="225">
        <v>0</v>
      </c>
      <c r="S118" s="220">
        <v>10</v>
      </c>
      <c r="AA118" s="252">
        <f>N118*(1+$G$1)^10</f>
        <v>0</v>
      </c>
      <c r="AB118" s="252">
        <f t="shared" ref="AB118" si="461">O118*(1+$G$1)^10</f>
        <v>39766.396514803368</v>
      </c>
      <c r="AC118" s="252">
        <f>P118*(1+$G$1)^10</f>
        <v>0</v>
      </c>
      <c r="AD118" s="252">
        <f t="shared" ref="AD118" si="462">Q118*(1+$G$1)^10</f>
        <v>0</v>
      </c>
      <c r="AE118" s="252">
        <f t="shared" ref="AE118" si="463">R118*(1+$G$1)^10</f>
        <v>0</v>
      </c>
      <c r="AM118" s="252">
        <f>AA118*(1+$G$1)^10</f>
        <v>0</v>
      </c>
      <c r="AN118" s="252">
        <f t="shared" ref="AN118" si="464">AB118*(1+$G$1)^10</f>
        <v>43926.841438126823</v>
      </c>
      <c r="AO118" s="252">
        <f t="shared" ref="AO118" si="465">AC118*(1+$G$1)^10</f>
        <v>0</v>
      </c>
      <c r="AP118" s="252">
        <f t="shared" ref="AP118" si="466">AD118*(1+$G$1)^10</f>
        <v>0</v>
      </c>
      <c r="AQ118" s="252">
        <f t="shared" ref="AQ118" si="467">AE118*(1+$G$1)^10</f>
        <v>0</v>
      </c>
      <c r="AY118" s="252">
        <f>AM118*(1+$G$1)^10</f>
        <v>0</v>
      </c>
      <c r="AZ118" s="252">
        <f t="shared" ref="AZ118" si="468">AN118*(1+$G$1)^10</f>
        <v>48522.560951984633</v>
      </c>
      <c r="BA118" s="252">
        <f t="shared" ref="BA118" si="469">AO118*(1+$G$1)^10</f>
        <v>0</v>
      </c>
      <c r="BB118" s="252">
        <f t="shared" ref="BB118" si="470">AP118*(1+$G$1)^10</f>
        <v>0</v>
      </c>
      <c r="BC118" s="252">
        <f t="shared" ref="BC118" si="471">AQ118*(1+$G$1)^10</f>
        <v>0</v>
      </c>
      <c r="BK118" s="252">
        <f>AY118*(1+$G$1)^10</f>
        <v>0</v>
      </c>
      <c r="BL118" s="252">
        <f t="shared" ref="BL118" si="472">AZ118*(1+$G$1)^10</f>
        <v>53599.094409175996</v>
      </c>
    </row>
    <row r="119" spans="2:64" ht="12.75" customHeight="1">
      <c r="B119" s="311"/>
      <c r="C119" s="219" t="s">
        <v>179</v>
      </c>
      <c r="D119" s="219" t="s">
        <v>133</v>
      </c>
      <c r="E119" s="220">
        <v>15</v>
      </c>
      <c r="F119" s="219" t="s">
        <v>127</v>
      </c>
      <c r="G119" s="238"/>
      <c r="H119" s="238">
        <v>1</v>
      </c>
      <c r="I119" s="238">
        <v>2</v>
      </c>
      <c r="J119" s="238"/>
      <c r="K119" s="238"/>
      <c r="L119" s="222">
        <v>3</v>
      </c>
      <c r="M119" s="223">
        <v>240000</v>
      </c>
      <c r="N119" s="224">
        <v>0</v>
      </c>
      <c r="O119" s="224">
        <v>240000</v>
      </c>
      <c r="P119" s="224">
        <v>480000</v>
      </c>
      <c r="Q119" s="224">
        <v>0</v>
      </c>
      <c r="R119" s="225">
        <v>0</v>
      </c>
      <c r="S119" s="220">
        <v>15</v>
      </c>
      <c r="AA119" s="250"/>
      <c r="AB119" s="250"/>
      <c r="AC119" s="250"/>
      <c r="AD119" s="250"/>
      <c r="AE119" s="252">
        <f>N119*(1+$G$1)^15</f>
        <v>0</v>
      </c>
      <c r="AF119" s="252">
        <f t="shared" ref="AF119" si="473">O119*(1+$G$1)^15</f>
        <v>278632.54928879964</v>
      </c>
      <c r="AG119" s="252">
        <f t="shared" ref="AG119" si="474">P119*(1+$G$1)^15</f>
        <v>557265.09857759927</v>
      </c>
      <c r="AH119" s="252">
        <f t="shared" ref="AH119" si="475">Q119*(1+$G$1)^15</f>
        <v>0</v>
      </c>
      <c r="AI119" s="252">
        <f t="shared" ref="AI119" si="476">R119*(1+$G$1)^15</f>
        <v>0</v>
      </c>
      <c r="AU119" s="258">
        <f>AE119*(1+$G$1)</f>
        <v>0</v>
      </c>
      <c r="AV119" s="258">
        <f t="shared" ref="AV119" si="477">AF119*(1+$G$1)</f>
        <v>281418.87478168763</v>
      </c>
      <c r="AW119" s="258">
        <f t="shared" ref="AW119" si="478">AG119*(1+$G$1)</f>
        <v>562837.74956337526</v>
      </c>
      <c r="AX119" s="258">
        <f t="shared" ref="AX119" si="479">AH119*(1+$G$1)</f>
        <v>0</v>
      </c>
      <c r="AY119" s="258">
        <f t="shared" ref="AY119" si="480">AI119*(1+$G$1)</f>
        <v>0</v>
      </c>
      <c r="BK119" s="258">
        <f>AU119*(1+$G$1)^15</f>
        <v>0</v>
      </c>
      <c r="BL119" s="258">
        <f t="shared" ref="BL119" si="481">AV119*(1+$G$1)^15</f>
        <v>326718.57707669627</v>
      </c>
    </row>
    <row r="120" spans="2:64" ht="12.75" customHeight="1">
      <c r="B120" s="311"/>
      <c r="C120" s="219" t="s">
        <v>180</v>
      </c>
      <c r="D120" s="219" t="s">
        <v>133</v>
      </c>
      <c r="E120" s="220">
        <v>20</v>
      </c>
      <c r="F120" s="219" t="s">
        <v>127</v>
      </c>
      <c r="G120" s="238"/>
      <c r="H120" s="238">
        <v>1</v>
      </c>
      <c r="I120" s="238"/>
      <c r="J120" s="238"/>
      <c r="K120" s="238"/>
      <c r="L120" s="222">
        <v>1</v>
      </c>
      <c r="M120" s="223">
        <v>2500000</v>
      </c>
      <c r="N120" s="224">
        <v>0</v>
      </c>
      <c r="O120" s="224">
        <v>2500000</v>
      </c>
      <c r="P120" s="224">
        <v>0</v>
      </c>
      <c r="Q120" s="224">
        <v>0</v>
      </c>
      <c r="R120" s="225">
        <v>0</v>
      </c>
      <c r="S120" s="220">
        <v>20</v>
      </c>
      <c r="AA120" s="250"/>
      <c r="AB120" s="250"/>
      <c r="AC120" s="250"/>
      <c r="AD120" s="250"/>
      <c r="AE120" s="250"/>
      <c r="AJ120" s="256">
        <f>N120*(1+$G$1)^20</f>
        <v>0</v>
      </c>
      <c r="AK120" s="256">
        <f t="shared" ref="AK120" si="482">O120*(1+$G$1)^20</f>
        <v>3050475.0998699176</v>
      </c>
      <c r="AL120" s="256">
        <f t="shared" ref="AL120" si="483">P120*(1+$G$1)^20</f>
        <v>0</v>
      </c>
      <c r="AM120" s="256">
        <f t="shared" ref="AM120" si="484">Q120*(1+$G$1)^20</f>
        <v>0</v>
      </c>
      <c r="AN120" s="256">
        <f t="shared" ref="AN120" si="485">R120*(1+$G$1)^20</f>
        <v>0</v>
      </c>
      <c r="AO120" s="257"/>
      <c r="BD120" s="256">
        <f>AJ120*(1+$G$1)^20</f>
        <v>0</v>
      </c>
      <c r="BE120" s="256">
        <f t="shared" ref="BE120" si="486">AK120</f>
        <v>3050475.0998699176</v>
      </c>
      <c r="BF120" s="256">
        <f t="shared" ref="BF120" si="487">AL120</f>
        <v>0</v>
      </c>
      <c r="BG120" s="256">
        <f t="shared" ref="BG120" si="488">AM120</f>
        <v>0</v>
      </c>
      <c r="BH120" s="256">
        <f t="shared" ref="BH120" si="489">AN120</f>
        <v>0</v>
      </c>
    </row>
    <row r="121" spans="2:64" ht="12.75" customHeight="1" thickBot="1">
      <c r="B121" s="312"/>
      <c r="C121" s="231" t="s">
        <v>166</v>
      </c>
      <c r="D121" s="219" t="s">
        <v>133</v>
      </c>
      <c r="E121" s="230">
        <v>30</v>
      </c>
      <c r="F121" s="231" t="s">
        <v>130</v>
      </c>
      <c r="G121" s="240">
        <v>0</v>
      </c>
      <c r="H121" s="240">
        <v>1</v>
      </c>
      <c r="I121" s="240">
        <v>0</v>
      </c>
      <c r="J121" s="240">
        <v>0</v>
      </c>
      <c r="K121" s="240">
        <v>0</v>
      </c>
      <c r="L121" s="233">
        <v>1</v>
      </c>
      <c r="M121" s="234">
        <v>500000</v>
      </c>
      <c r="N121" s="235">
        <v>0</v>
      </c>
      <c r="O121" s="235">
        <v>500000</v>
      </c>
      <c r="P121" s="235">
        <v>0</v>
      </c>
      <c r="Q121" s="235">
        <v>0</v>
      </c>
      <c r="R121" s="236">
        <v>0</v>
      </c>
      <c r="S121" s="230">
        <v>30</v>
      </c>
      <c r="AX121" s="252">
        <f>N121*(1+$G$1)^(AX$4-$N$4)</f>
        <v>0</v>
      </c>
      <c r="AY121" s="252">
        <f>O121*(1+$G$1)^(AY$4-$N$4)</f>
        <v>715384.39179579052</v>
      </c>
      <c r="AZ121" s="252">
        <f t="shared" ref="AZ121" si="490">P121*(1+$G$1)^(AZ$4-$N$4)</f>
        <v>0</v>
      </c>
      <c r="BA121" s="252">
        <f t="shared" ref="BA121" si="491">Q121*(1+$G$1)^(BA$4-$N$4)</f>
        <v>0</v>
      </c>
      <c r="BB121" s="252">
        <f t="shared" ref="BB121" si="492">R121*(1+$G$1)^(BB$4-$N$4)</f>
        <v>0</v>
      </c>
    </row>
    <row r="122" spans="2:64" ht="12.75" customHeight="1" thickBot="1"/>
    <row r="123" spans="2:64" ht="12.75" customHeight="1">
      <c r="B123" s="212" t="s">
        <v>113</v>
      </c>
      <c r="C123" s="213" t="s">
        <v>114</v>
      </c>
      <c r="D123" s="213" t="s">
        <v>115</v>
      </c>
      <c r="E123" s="213" t="s">
        <v>116</v>
      </c>
      <c r="F123" s="213" t="s">
        <v>117</v>
      </c>
      <c r="G123" s="214">
        <v>2021</v>
      </c>
      <c r="H123" s="214">
        <v>2022</v>
      </c>
      <c r="I123" s="214">
        <v>2023</v>
      </c>
      <c r="J123" s="214">
        <v>2024</v>
      </c>
      <c r="K123" s="214">
        <v>2025</v>
      </c>
      <c r="L123" s="215" t="s">
        <v>118</v>
      </c>
      <c r="M123" s="216" t="s">
        <v>119</v>
      </c>
      <c r="N123" s="217" t="s">
        <v>120</v>
      </c>
      <c r="O123" s="217" t="s">
        <v>121</v>
      </c>
      <c r="P123" s="217" t="s">
        <v>122</v>
      </c>
      <c r="Q123" s="217" t="s">
        <v>123</v>
      </c>
      <c r="R123" s="217" t="s">
        <v>124</v>
      </c>
      <c r="S123" s="213" t="s">
        <v>116</v>
      </c>
    </row>
    <row r="124" spans="2:64" ht="12.75" customHeight="1">
      <c r="B124" s="313" t="s">
        <v>147</v>
      </c>
      <c r="C124" s="241" t="s">
        <v>181</v>
      </c>
      <c r="D124" s="219" t="s">
        <v>133</v>
      </c>
      <c r="E124" s="220">
        <v>10</v>
      </c>
      <c r="F124" s="219" t="s">
        <v>149</v>
      </c>
      <c r="G124" s="242">
        <v>1</v>
      </c>
      <c r="H124" s="242"/>
      <c r="I124" s="242"/>
      <c r="J124" s="242"/>
      <c r="K124" s="242"/>
      <c r="L124" s="222">
        <v>1</v>
      </c>
      <c r="M124" s="243">
        <v>300000</v>
      </c>
      <c r="N124" s="224">
        <v>300000</v>
      </c>
      <c r="O124" s="224">
        <v>0</v>
      </c>
      <c r="P124" s="224">
        <v>0</v>
      </c>
      <c r="Q124" s="224">
        <v>0</v>
      </c>
      <c r="R124" s="224">
        <v>0</v>
      </c>
      <c r="S124" s="220">
        <v>10</v>
      </c>
      <c r="AA124" s="252">
        <f t="shared" ref="AA124:AA128" si="493">N124*(1+$G$1)^10</f>
        <v>331386.63762336143</v>
      </c>
      <c r="AB124" s="252">
        <f t="shared" ref="AB124:AB128" si="494">O124*(1+$G$1)^10</f>
        <v>0</v>
      </c>
      <c r="AC124" s="252">
        <f t="shared" ref="AC124:AC128" si="495">P124*(1+$G$1)^10</f>
        <v>0</v>
      </c>
      <c r="AD124" s="252">
        <f t="shared" ref="AD124:AD128" si="496">Q124*(1+$G$1)^10</f>
        <v>0</v>
      </c>
      <c r="AE124" s="252">
        <f t="shared" ref="AE124:AE128" si="497">R124*(1+$G$1)^10</f>
        <v>0</v>
      </c>
      <c r="AM124" s="252">
        <f t="shared" ref="AM124:AM128" si="498">AA124*(1+$G$1)^10</f>
        <v>366057.01198439021</v>
      </c>
      <c r="AN124" s="252">
        <f t="shared" ref="AN124:AN128" si="499">AB124*(1+$G$1)^10</f>
        <v>0</v>
      </c>
      <c r="AO124" s="252">
        <f t="shared" ref="AO124:AO128" si="500">AC124*(1+$G$1)^10</f>
        <v>0</v>
      </c>
      <c r="AP124" s="252">
        <f t="shared" ref="AP124:AP128" si="501">AD124*(1+$G$1)^10</f>
        <v>0</v>
      </c>
      <c r="AQ124" s="252">
        <f t="shared" ref="AQ124:AQ128" si="502">AE124*(1+$G$1)^10</f>
        <v>0</v>
      </c>
      <c r="AY124" s="252">
        <f t="shared" ref="AY124:AY128" si="503">AM124*(1+$G$1)^10</f>
        <v>404354.67459987197</v>
      </c>
      <c r="AZ124" s="252">
        <f t="shared" ref="AZ124:AZ128" si="504">AN124*(1+$G$1)^10</f>
        <v>0</v>
      </c>
      <c r="BA124" s="252">
        <f t="shared" ref="BA124:BA128" si="505">AO124*(1+$G$1)^10</f>
        <v>0</v>
      </c>
      <c r="BB124" s="252">
        <f t="shared" ref="BB124:BB128" si="506">AP124*(1+$G$1)^10</f>
        <v>0</v>
      </c>
      <c r="BC124" s="252">
        <f t="shared" ref="BC124:BC128" si="507">AQ124*(1+$G$1)^10</f>
        <v>0</v>
      </c>
      <c r="BK124" s="252">
        <f t="shared" ref="BK124:BK128" si="508">AY124*(1+$G$1)^10</f>
        <v>446659.12007646664</v>
      </c>
      <c r="BL124" s="252">
        <f t="shared" ref="BL124:BL128" si="509">AZ124*(1+$G$1)^10</f>
        <v>0</v>
      </c>
    </row>
    <row r="125" spans="2:64" ht="12.75" customHeight="1">
      <c r="B125" s="314"/>
      <c r="C125" s="241" t="s">
        <v>150</v>
      </c>
      <c r="D125" s="219" t="s">
        <v>133</v>
      </c>
      <c r="E125" s="220">
        <v>10</v>
      </c>
      <c r="F125" s="219" t="s">
        <v>127</v>
      </c>
      <c r="G125" s="242">
        <v>0</v>
      </c>
      <c r="H125" s="242">
        <v>1</v>
      </c>
      <c r="I125" s="242"/>
      <c r="J125" s="242"/>
      <c r="K125" s="242"/>
      <c r="L125" s="222">
        <v>1</v>
      </c>
      <c r="M125" s="243">
        <v>300000</v>
      </c>
      <c r="N125" s="224">
        <v>0</v>
      </c>
      <c r="O125" s="224">
        <v>300000</v>
      </c>
      <c r="P125" s="224">
        <v>0</v>
      </c>
      <c r="Q125" s="224">
        <v>0</v>
      </c>
      <c r="R125" s="224">
        <v>0</v>
      </c>
      <c r="S125" s="220">
        <v>10</v>
      </c>
      <c r="AA125" s="252">
        <f t="shared" si="493"/>
        <v>0</v>
      </c>
      <c r="AB125" s="252">
        <f t="shared" si="494"/>
        <v>331386.63762336143</v>
      </c>
      <c r="AC125" s="252">
        <f t="shared" si="495"/>
        <v>0</v>
      </c>
      <c r="AD125" s="252">
        <f t="shared" si="496"/>
        <v>0</v>
      </c>
      <c r="AE125" s="252">
        <f t="shared" si="497"/>
        <v>0</v>
      </c>
      <c r="AM125" s="252">
        <f t="shared" si="498"/>
        <v>0</v>
      </c>
      <c r="AN125" s="252">
        <f t="shared" si="499"/>
        <v>366057.01198439021</v>
      </c>
      <c r="AO125" s="252">
        <f t="shared" si="500"/>
        <v>0</v>
      </c>
      <c r="AP125" s="252">
        <f t="shared" si="501"/>
        <v>0</v>
      </c>
      <c r="AQ125" s="252">
        <f t="shared" si="502"/>
        <v>0</v>
      </c>
      <c r="AY125" s="252">
        <f t="shared" si="503"/>
        <v>0</v>
      </c>
      <c r="AZ125" s="252">
        <f t="shared" si="504"/>
        <v>404354.67459987197</v>
      </c>
      <c r="BA125" s="252">
        <f t="shared" si="505"/>
        <v>0</v>
      </c>
      <c r="BB125" s="252">
        <f t="shared" si="506"/>
        <v>0</v>
      </c>
      <c r="BC125" s="252">
        <f t="shared" si="507"/>
        <v>0</v>
      </c>
      <c r="BK125" s="252">
        <f t="shared" si="508"/>
        <v>0</v>
      </c>
      <c r="BL125" s="252">
        <f t="shared" si="509"/>
        <v>446659.12007646664</v>
      </c>
    </row>
    <row r="126" spans="2:64" ht="12.75" customHeight="1">
      <c r="B126" s="314"/>
      <c r="C126" s="241" t="s">
        <v>151</v>
      </c>
      <c r="D126" s="219" t="s">
        <v>133</v>
      </c>
      <c r="E126" s="220">
        <v>10</v>
      </c>
      <c r="F126" s="219" t="s">
        <v>127</v>
      </c>
      <c r="G126" s="242"/>
      <c r="H126" s="242">
        <v>1</v>
      </c>
      <c r="I126" s="242"/>
      <c r="J126" s="242"/>
      <c r="K126" s="242"/>
      <c r="L126" s="222">
        <v>1</v>
      </c>
      <c r="M126" s="243">
        <v>200000</v>
      </c>
      <c r="N126" s="224">
        <v>0</v>
      </c>
      <c r="O126" s="224">
        <v>200000</v>
      </c>
      <c r="P126" s="224">
        <v>0</v>
      </c>
      <c r="Q126" s="224">
        <v>0</v>
      </c>
      <c r="R126" s="224">
        <v>0</v>
      </c>
      <c r="S126" s="220">
        <v>10</v>
      </c>
      <c r="AA126" s="252">
        <f t="shared" si="493"/>
        <v>0</v>
      </c>
      <c r="AB126" s="252">
        <f t="shared" si="494"/>
        <v>220924.42508224095</v>
      </c>
      <c r="AC126" s="252">
        <f t="shared" si="495"/>
        <v>0</v>
      </c>
      <c r="AD126" s="252">
        <f t="shared" si="496"/>
        <v>0</v>
      </c>
      <c r="AE126" s="252">
        <f t="shared" si="497"/>
        <v>0</v>
      </c>
      <c r="AM126" s="252">
        <f t="shared" si="498"/>
        <v>0</v>
      </c>
      <c r="AN126" s="252">
        <f t="shared" si="499"/>
        <v>244038.00798959346</v>
      </c>
      <c r="AO126" s="252">
        <f t="shared" si="500"/>
        <v>0</v>
      </c>
      <c r="AP126" s="252">
        <f t="shared" si="501"/>
        <v>0</v>
      </c>
      <c r="AQ126" s="252">
        <f t="shared" si="502"/>
        <v>0</v>
      </c>
      <c r="AY126" s="252">
        <f t="shared" si="503"/>
        <v>0</v>
      </c>
      <c r="AZ126" s="252">
        <f t="shared" si="504"/>
        <v>269569.78306658129</v>
      </c>
      <c r="BA126" s="252">
        <f t="shared" si="505"/>
        <v>0</v>
      </c>
      <c r="BB126" s="252">
        <f t="shared" si="506"/>
        <v>0</v>
      </c>
      <c r="BC126" s="252">
        <f t="shared" si="507"/>
        <v>0</v>
      </c>
      <c r="BK126" s="252">
        <f t="shared" si="508"/>
        <v>0</v>
      </c>
      <c r="BL126" s="252">
        <f t="shared" si="509"/>
        <v>297772.74671764445</v>
      </c>
    </row>
    <row r="127" spans="2:64" ht="12.75" customHeight="1">
      <c r="B127" s="314"/>
      <c r="C127" s="241" t="s">
        <v>152</v>
      </c>
      <c r="D127" s="219" t="s">
        <v>133</v>
      </c>
      <c r="E127" s="220">
        <v>10</v>
      </c>
      <c r="F127" s="219" t="s">
        <v>127</v>
      </c>
      <c r="G127" s="244"/>
      <c r="H127" s="244">
        <v>1</v>
      </c>
      <c r="I127" s="242"/>
      <c r="J127" s="242"/>
      <c r="K127" s="242"/>
      <c r="L127" s="222">
        <v>1</v>
      </c>
      <c r="M127" s="243">
        <v>300000</v>
      </c>
      <c r="N127" s="224">
        <v>0</v>
      </c>
      <c r="O127" s="224">
        <v>300000</v>
      </c>
      <c r="P127" s="224">
        <v>0</v>
      </c>
      <c r="Q127" s="224">
        <v>0</v>
      </c>
      <c r="R127" s="224">
        <v>0</v>
      </c>
      <c r="S127" s="220">
        <v>10</v>
      </c>
      <c r="AA127" s="252">
        <f t="shared" si="493"/>
        <v>0</v>
      </c>
      <c r="AB127" s="252">
        <f t="shared" si="494"/>
        <v>331386.63762336143</v>
      </c>
      <c r="AC127" s="252">
        <f t="shared" si="495"/>
        <v>0</v>
      </c>
      <c r="AD127" s="252">
        <f t="shared" si="496"/>
        <v>0</v>
      </c>
      <c r="AE127" s="252">
        <f t="shared" si="497"/>
        <v>0</v>
      </c>
      <c r="AM127" s="252">
        <f t="shared" si="498"/>
        <v>0</v>
      </c>
      <c r="AN127" s="252">
        <f t="shared" si="499"/>
        <v>366057.01198439021</v>
      </c>
      <c r="AO127" s="252">
        <f t="shared" si="500"/>
        <v>0</v>
      </c>
      <c r="AP127" s="252">
        <f t="shared" si="501"/>
        <v>0</v>
      </c>
      <c r="AQ127" s="252">
        <f t="shared" si="502"/>
        <v>0</v>
      </c>
      <c r="AY127" s="252">
        <f t="shared" si="503"/>
        <v>0</v>
      </c>
      <c r="AZ127" s="252">
        <f t="shared" si="504"/>
        <v>404354.67459987197</v>
      </c>
      <c r="BA127" s="252">
        <f t="shared" si="505"/>
        <v>0</v>
      </c>
      <c r="BB127" s="252">
        <f t="shared" si="506"/>
        <v>0</v>
      </c>
      <c r="BC127" s="252">
        <f t="shared" si="507"/>
        <v>0</v>
      </c>
      <c r="BK127" s="252">
        <f t="shared" si="508"/>
        <v>0</v>
      </c>
      <c r="BL127" s="252">
        <f t="shared" si="509"/>
        <v>446659.12007646664</v>
      </c>
    </row>
    <row r="128" spans="2:64" ht="12.75" customHeight="1">
      <c r="B128" s="314"/>
      <c r="C128" s="241" t="s">
        <v>153</v>
      </c>
      <c r="D128" s="219" t="s">
        <v>133</v>
      </c>
      <c r="E128" s="220">
        <v>10</v>
      </c>
      <c r="F128" s="219" t="s">
        <v>149</v>
      </c>
      <c r="G128" s="242"/>
      <c r="H128" s="242">
        <v>2</v>
      </c>
      <c r="I128" s="242"/>
      <c r="J128" s="242"/>
      <c r="K128" s="242"/>
      <c r="L128" s="222">
        <v>2</v>
      </c>
      <c r="M128" s="243">
        <v>300000</v>
      </c>
      <c r="N128" s="224">
        <v>0</v>
      </c>
      <c r="O128" s="224">
        <v>600000</v>
      </c>
      <c r="P128" s="224">
        <v>0</v>
      </c>
      <c r="Q128" s="224">
        <v>0</v>
      </c>
      <c r="R128" s="224">
        <v>0</v>
      </c>
      <c r="S128" s="220">
        <v>10</v>
      </c>
      <c r="AA128" s="252">
        <f t="shared" si="493"/>
        <v>0</v>
      </c>
      <c r="AB128" s="252">
        <f t="shared" si="494"/>
        <v>662773.27524672286</v>
      </c>
      <c r="AC128" s="252">
        <f t="shared" si="495"/>
        <v>0</v>
      </c>
      <c r="AD128" s="252">
        <f t="shared" si="496"/>
        <v>0</v>
      </c>
      <c r="AE128" s="252">
        <f t="shared" si="497"/>
        <v>0</v>
      </c>
      <c r="AM128" s="252">
        <f t="shared" si="498"/>
        <v>0</v>
      </c>
      <c r="AN128" s="252">
        <f t="shared" si="499"/>
        <v>732114.02396878041</v>
      </c>
      <c r="AO128" s="252">
        <f t="shared" si="500"/>
        <v>0</v>
      </c>
      <c r="AP128" s="252">
        <f t="shared" si="501"/>
        <v>0</v>
      </c>
      <c r="AQ128" s="252">
        <f t="shared" si="502"/>
        <v>0</v>
      </c>
      <c r="AY128" s="252">
        <f t="shared" si="503"/>
        <v>0</v>
      </c>
      <c r="AZ128" s="252">
        <f t="shared" si="504"/>
        <v>808709.34919974394</v>
      </c>
      <c r="BA128" s="252">
        <f t="shared" si="505"/>
        <v>0</v>
      </c>
      <c r="BB128" s="252">
        <f t="shared" si="506"/>
        <v>0</v>
      </c>
      <c r="BC128" s="252">
        <f t="shared" si="507"/>
        <v>0</v>
      </c>
      <c r="BK128" s="252">
        <f t="shared" si="508"/>
        <v>0</v>
      </c>
      <c r="BL128" s="252">
        <f t="shared" si="509"/>
        <v>893318.24015293329</v>
      </c>
    </row>
    <row r="129" spans="2:64" ht="12.75" customHeight="1">
      <c r="B129" s="314"/>
      <c r="C129" s="241" t="s">
        <v>154</v>
      </c>
      <c r="D129" s="219" t="s">
        <v>133</v>
      </c>
      <c r="E129" s="220"/>
      <c r="F129" s="219" t="s">
        <v>149</v>
      </c>
      <c r="G129" s="242"/>
      <c r="H129" s="242">
        <v>0</v>
      </c>
      <c r="I129" s="242"/>
      <c r="J129" s="242"/>
      <c r="K129" s="242"/>
      <c r="L129" s="222">
        <v>0</v>
      </c>
      <c r="M129" s="243">
        <v>360000</v>
      </c>
      <c r="N129" s="224">
        <v>0</v>
      </c>
      <c r="O129" s="224">
        <v>0</v>
      </c>
      <c r="P129" s="224">
        <v>0</v>
      </c>
      <c r="Q129" s="224">
        <v>0</v>
      </c>
      <c r="R129" s="224">
        <v>0</v>
      </c>
      <c r="S129" s="220"/>
    </row>
    <row r="130" spans="2:64" ht="12.75" customHeight="1">
      <c r="B130" s="314"/>
      <c r="C130" s="241" t="s">
        <v>182</v>
      </c>
      <c r="D130" s="219" t="s">
        <v>133</v>
      </c>
      <c r="E130" s="220">
        <v>10</v>
      </c>
      <c r="F130" s="219" t="s">
        <v>149</v>
      </c>
      <c r="G130" s="242"/>
      <c r="H130" s="242">
        <v>1</v>
      </c>
      <c r="I130" s="242"/>
      <c r="J130" s="242"/>
      <c r="K130" s="242"/>
      <c r="L130" s="222">
        <v>1</v>
      </c>
      <c r="M130" s="243">
        <v>500000</v>
      </c>
      <c r="N130" s="224">
        <v>0</v>
      </c>
      <c r="O130" s="224">
        <v>500000</v>
      </c>
      <c r="P130" s="224">
        <v>0</v>
      </c>
      <c r="Q130" s="224">
        <v>0</v>
      </c>
      <c r="R130" s="224">
        <v>0</v>
      </c>
      <c r="S130" s="220">
        <v>10</v>
      </c>
      <c r="AA130" s="252">
        <f t="shared" ref="AA130:AA131" si="510">N130*(1+$G$1)^10</f>
        <v>0</v>
      </c>
      <c r="AB130" s="252">
        <f t="shared" ref="AB130:AB131" si="511">O130*(1+$G$1)^10</f>
        <v>552311.06270560238</v>
      </c>
      <c r="AC130" s="252">
        <f t="shared" ref="AC130:AC131" si="512">P130*(1+$G$1)^10</f>
        <v>0</v>
      </c>
      <c r="AD130" s="252">
        <f t="shared" ref="AD130:AD131" si="513">Q130*(1+$G$1)^10</f>
        <v>0</v>
      </c>
      <c r="AE130" s="252">
        <f t="shared" ref="AE130:AE131" si="514">R130*(1+$G$1)^10</f>
        <v>0</v>
      </c>
      <c r="AM130" s="252">
        <f t="shared" ref="AM130:AM131" si="515">AA130*(1+$G$1)^10</f>
        <v>0</v>
      </c>
      <c r="AN130" s="252">
        <f t="shared" ref="AN130:AN131" si="516">AB130*(1+$G$1)^10</f>
        <v>610095.01997398364</v>
      </c>
      <c r="AO130" s="252">
        <f t="shared" ref="AO130:AO131" si="517">AC130*(1+$G$1)^10</f>
        <v>0</v>
      </c>
      <c r="AP130" s="252">
        <f t="shared" ref="AP130:AP131" si="518">AD130*(1+$G$1)^10</f>
        <v>0</v>
      </c>
      <c r="AQ130" s="252">
        <f t="shared" ref="AQ130:AQ131" si="519">AE130*(1+$G$1)^10</f>
        <v>0</v>
      </c>
      <c r="AY130" s="252">
        <f t="shared" ref="AY130:AY131" si="520">AM130*(1+$G$1)^10</f>
        <v>0</v>
      </c>
      <c r="AZ130" s="252">
        <f t="shared" ref="AZ130:AZ131" si="521">AN130*(1+$G$1)^10</f>
        <v>673924.45766645321</v>
      </c>
      <c r="BA130" s="252">
        <f t="shared" ref="BA130:BA131" si="522">AO130*(1+$G$1)^10</f>
        <v>0</v>
      </c>
      <c r="BB130" s="252">
        <f t="shared" ref="BB130:BB131" si="523">AP130*(1+$G$1)^10</f>
        <v>0</v>
      </c>
      <c r="BC130" s="252">
        <f t="shared" ref="BC130:BC131" si="524">AQ130*(1+$G$1)^10</f>
        <v>0</v>
      </c>
      <c r="BK130" s="252">
        <f t="shared" ref="BK130:BK131" si="525">AY130*(1+$G$1)^10</f>
        <v>0</v>
      </c>
      <c r="BL130" s="252">
        <f t="shared" ref="BL130:BL131" si="526">AZ130*(1+$G$1)^10</f>
        <v>744431.86679411097</v>
      </c>
    </row>
    <row r="131" spans="2:64" ht="12.75" customHeight="1">
      <c r="B131" s="314"/>
      <c r="C131" s="241" t="s">
        <v>183</v>
      </c>
      <c r="D131" s="219" t="s">
        <v>133</v>
      </c>
      <c r="E131" s="220">
        <v>10</v>
      </c>
      <c r="F131" s="219" t="s">
        <v>149</v>
      </c>
      <c r="G131" s="242"/>
      <c r="H131" s="242">
        <v>0.5</v>
      </c>
      <c r="I131" s="242"/>
      <c r="J131" s="242"/>
      <c r="K131" s="242"/>
      <c r="L131" s="222">
        <v>0.5</v>
      </c>
      <c r="M131" s="243">
        <v>600000</v>
      </c>
      <c r="N131" s="224">
        <v>0</v>
      </c>
      <c r="O131" s="224">
        <v>300000</v>
      </c>
      <c r="P131" s="224">
        <v>0</v>
      </c>
      <c r="Q131" s="224">
        <v>0</v>
      </c>
      <c r="R131" s="224">
        <v>0</v>
      </c>
      <c r="S131" s="220">
        <v>10</v>
      </c>
      <c r="AA131" s="252">
        <f t="shared" si="510"/>
        <v>0</v>
      </c>
      <c r="AB131" s="252">
        <f t="shared" si="511"/>
        <v>331386.63762336143</v>
      </c>
      <c r="AC131" s="252">
        <f t="shared" si="512"/>
        <v>0</v>
      </c>
      <c r="AD131" s="252">
        <f t="shared" si="513"/>
        <v>0</v>
      </c>
      <c r="AE131" s="252">
        <f t="shared" si="514"/>
        <v>0</v>
      </c>
      <c r="AM131" s="252">
        <f t="shared" si="515"/>
        <v>0</v>
      </c>
      <c r="AN131" s="252">
        <f t="shared" si="516"/>
        <v>366057.01198439021</v>
      </c>
      <c r="AO131" s="252">
        <f t="shared" si="517"/>
        <v>0</v>
      </c>
      <c r="AP131" s="252">
        <f t="shared" si="518"/>
        <v>0</v>
      </c>
      <c r="AQ131" s="252">
        <f t="shared" si="519"/>
        <v>0</v>
      </c>
      <c r="AY131" s="252">
        <f t="shared" si="520"/>
        <v>0</v>
      </c>
      <c r="AZ131" s="252">
        <f t="shared" si="521"/>
        <v>404354.67459987197</v>
      </c>
      <c r="BA131" s="252">
        <f t="shared" si="522"/>
        <v>0</v>
      </c>
      <c r="BB131" s="252">
        <f t="shared" si="523"/>
        <v>0</v>
      </c>
      <c r="BC131" s="252">
        <f t="shared" si="524"/>
        <v>0</v>
      </c>
      <c r="BK131" s="252">
        <f t="shared" si="525"/>
        <v>0</v>
      </c>
      <c r="BL131" s="252">
        <f t="shared" si="526"/>
        <v>446659.12007646664</v>
      </c>
    </row>
    <row r="132" spans="2:64" ht="12.75" customHeight="1">
      <c r="B132" s="314"/>
      <c r="C132" s="241" t="s">
        <v>158</v>
      </c>
      <c r="D132" s="219" t="s">
        <v>133</v>
      </c>
      <c r="E132" s="220"/>
      <c r="F132" s="219" t="s">
        <v>127</v>
      </c>
      <c r="G132" s="242"/>
      <c r="H132" s="242"/>
      <c r="I132" s="242"/>
      <c r="J132" s="242"/>
      <c r="K132" s="242"/>
      <c r="L132" s="222">
        <v>0</v>
      </c>
      <c r="M132" s="243">
        <v>420000</v>
      </c>
      <c r="N132" s="224">
        <v>0</v>
      </c>
      <c r="O132" s="224">
        <v>0</v>
      </c>
      <c r="P132" s="224">
        <v>0</v>
      </c>
      <c r="Q132" s="224">
        <v>0</v>
      </c>
      <c r="R132" s="224">
        <v>0</v>
      </c>
      <c r="S132" s="220"/>
    </row>
    <row r="133" spans="2:64" ht="12.75" customHeight="1">
      <c r="B133" s="314"/>
      <c r="C133" s="241" t="s">
        <v>159</v>
      </c>
      <c r="D133" s="219" t="s">
        <v>133</v>
      </c>
      <c r="E133" s="220">
        <v>10</v>
      </c>
      <c r="F133" s="219" t="s">
        <v>149</v>
      </c>
      <c r="G133" s="242"/>
      <c r="H133" s="242">
        <v>0.5</v>
      </c>
      <c r="I133" s="242">
        <v>0.5</v>
      </c>
      <c r="J133" s="242"/>
      <c r="K133" s="242"/>
      <c r="L133" s="222">
        <v>1</v>
      </c>
      <c r="M133" s="243">
        <v>300000</v>
      </c>
      <c r="N133" s="224">
        <v>0</v>
      </c>
      <c r="O133" s="224">
        <v>150000</v>
      </c>
      <c r="P133" s="224">
        <v>150000</v>
      </c>
      <c r="Q133" s="224">
        <v>0</v>
      </c>
      <c r="R133" s="224">
        <v>0</v>
      </c>
      <c r="S133" s="220">
        <v>10</v>
      </c>
      <c r="AA133" s="252">
        <f>N133*(1+$G$1)^10</f>
        <v>0</v>
      </c>
      <c r="AB133" s="252">
        <f t="shared" ref="AB133:AB134" si="527">O133*(1+$G$1)^10</f>
        <v>165693.31881168071</v>
      </c>
      <c r="AC133" s="252">
        <f>P133*(1+$G$1)^10</f>
        <v>165693.31881168071</v>
      </c>
      <c r="AD133" s="252">
        <f t="shared" ref="AD133:AD134" si="528">Q133*(1+$G$1)^10</f>
        <v>0</v>
      </c>
      <c r="AE133" s="252">
        <f t="shared" ref="AE133:AE134" si="529">R133*(1+$G$1)^10</f>
        <v>0</v>
      </c>
      <c r="AM133" s="252">
        <f>AA133*(1+$G$1)^10</f>
        <v>0</v>
      </c>
      <c r="AN133" s="252">
        <f t="shared" ref="AN133:AN134" si="530">AB133*(1+$G$1)^10</f>
        <v>183028.5059921951</v>
      </c>
      <c r="AO133" s="252">
        <f t="shared" ref="AO133:AO134" si="531">AC133*(1+$G$1)^10</f>
        <v>183028.5059921951</v>
      </c>
      <c r="AP133" s="252">
        <f t="shared" ref="AP133:AP134" si="532">AD133*(1+$G$1)^10</f>
        <v>0</v>
      </c>
      <c r="AQ133" s="252">
        <f t="shared" ref="AQ133:AQ134" si="533">AE133*(1+$G$1)^10</f>
        <v>0</v>
      </c>
      <c r="AY133" s="252">
        <f>AM133*(1+$G$1)^10</f>
        <v>0</v>
      </c>
      <c r="AZ133" s="252">
        <f t="shared" ref="AZ133:AZ134" si="534">AN133*(1+$G$1)^10</f>
        <v>202177.33729993599</v>
      </c>
      <c r="BA133" s="252">
        <f t="shared" ref="BA133:BA134" si="535">AO133*(1+$G$1)^10</f>
        <v>202177.33729993599</v>
      </c>
      <c r="BB133" s="252">
        <f t="shared" ref="BB133:BB134" si="536">AP133*(1+$G$1)^10</f>
        <v>0</v>
      </c>
      <c r="BC133" s="252">
        <f t="shared" ref="BC133:BC134" si="537">AQ133*(1+$G$1)^10</f>
        <v>0</v>
      </c>
      <c r="BK133" s="252">
        <f>AY133*(1+$G$1)^10</f>
        <v>0</v>
      </c>
      <c r="BL133" s="252">
        <f t="shared" ref="BL133:BL134" si="538">AZ133*(1+$G$1)^10</f>
        <v>223329.56003823332</v>
      </c>
    </row>
    <row r="134" spans="2:64" ht="12.75" customHeight="1" thickBot="1">
      <c r="B134" s="315"/>
      <c r="C134" s="245" t="s">
        <v>184</v>
      </c>
      <c r="D134" s="219" t="s">
        <v>133</v>
      </c>
      <c r="E134" s="230">
        <v>10</v>
      </c>
      <c r="F134" s="231" t="s">
        <v>149</v>
      </c>
      <c r="G134" s="246">
        <v>4</v>
      </c>
      <c r="H134" s="246">
        <v>4</v>
      </c>
      <c r="I134" s="247">
        <v>4</v>
      </c>
      <c r="J134" s="247"/>
      <c r="K134" s="247"/>
      <c r="L134" s="233">
        <v>12</v>
      </c>
      <c r="M134" s="248">
        <v>60000</v>
      </c>
      <c r="N134" s="235">
        <v>240000</v>
      </c>
      <c r="O134" s="235">
        <v>240000</v>
      </c>
      <c r="P134" s="235">
        <v>240000</v>
      </c>
      <c r="Q134" s="235">
        <v>0</v>
      </c>
      <c r="R134" s="235">
        <v>0</v>
      </c>
      <c r="S134" s="230">
        <v>10</v>
      </c>
      <c r="AA134" s="252">
        <f>N134*(1+$G$1)^10</f>
        <v>265109.31009868917</v>
      </c>
      <c r="AB134" s="252">
        <f t="shared" si="527"/>
        <v>265109.31009868917</v>
      </c>
      <c r="AC134" s="252">
        <f>P134*(1+$G$1)^10</f>
        <v>265109.31009868917</v>
      </c>
      <c r="AD134" s="252">
        <f t="shared" si="528"/>
        <v>0</v>
      </c>
      <c r="AE134" s="252">
        <f t="shared" si="529"/>
        <v>0</v>
      </c>
      <c r="AM134" s="252">
        <f>AA134*(1+$G$1)^10</f>
        <v>292845.60958751221</v>
      </c>
      <c r="AN134" s="252">
        <f t="shared" si="530"/>
        <v>292845.60958751221</v>
      </c>
      <c r="AO134" s="252">
        <f t="shared" si="531"/>
        <v>292845.60958751221</v>
      </c>
      <c r="AP134" s="252">
        <f t="shared" si="532"/>
        <v>0</v>
      </c>
      <c r="AQ134" s="252">
        <f t="shared" si="533"/>
        <v>0</v>
      </c>
      <c r="AY134" s="252">
        <f>AM134*(1+$G$1)^10</f>
        <v>323483.73967989761</v>
      </c>
      <c r="AZ134" s="252">
        <f t="shared" si="534"/>
        <v>323483.73967989761</v>
      </c>
      <c r="BA134" s="252">
        <f t="shared" si="535"/>
        <v>323483.73967989761</v>
      </c>
      <c r="BB134" s="252">
        <f t="shared" si="536"/>
        <v>0</v>
      </c>
      <c r="BC134" s="252">
        <f t="shared" si="537"/>
        <v>0</v>
      </c>
      <c r="BK134" s="252">
        <f>AY134*(1+$G$1)^10</f>
        <v>357327.29606117337</v>
      </c>
      <c r="BL134" s="252">
        <f t="shared" si="538"/>
        <v>357327.29606117337</v>
      </c>
    </row>
    <row r="136" spans="2:64" ht="12.75" customHeight="1" thickBot="1"/>
    <row r="137" spans="2:64" ht="14.5">
      <c r="B137" s="259" t="s">
        <v>186</v>
      </c>
      <c r="C137" s="214"/>
      <c r="D137" s="214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60"/>
      <c r="S137" s="214"/>
      <c r="T137" s="42">
        <f t="shared" ref="T137:BK137" si="539">SUM(T5:T134)</f>
        <v>0</v>
      </c>
      <c r="U137" s="42">
        <f t="shared" si="539"/>
        <v>180773.72861719999</v>
      </c>
      <c r="V137" s="42">
        <f t="shared" si="539"/>
        <v>372057.55773539993</v>
      </c>
      <c r="W137" s="42">
        <f t="shared" si="539"/>
        <v>0</v>
      </c>
      <c r="X137" s="42">
        <f t="shared" si="539"/>
        <v>0</v>
      </c>
      <c r="Y137" s="42">
        <f t="shared" si="539"/>
        <v>0</v>
      </c>
      <c r="Z137" s="42">
        <f t="shared" si="539"/>
        <v>189995.00557072714</v>
      </c>
      <c r="AA137" s="42">
        <f t="shared" si="539"/>
        <v>5462908.7212211136</v>
      </c>
      <c r="AB137" s="42">
        <f t="shared" si="539"/>
        <v>12820796.698585151</v>
      </c>
      <c r="AC137" s="42">
        <f t="shared" si="539"/>
        <v>2882511.4362605382</v>
      </c>
      <c r="AD137" s="42">
        <f t="shared" si="539"/>
        <v>331386.63762336143</v>
      </c>
      <c r="AE137" s="42">
        <f t="shared" si="539"/>
        <v>531073.29794700106</v>
      </c>
      <c r="AF137" s="42">
        <f t="shared" si="539"/>
        <v>1114530.1971551985</v>
      </c>
      <c r="AG137" s="42">
        <f t="shared" si="539"/>
        <v>756951.75890123891</v>
      </c>
      <c r="AH137" s="42">
        <f t="shared" si="539"/>
        <v>0</v>
      </c>
      <c r="AI137" s="42">
        <f t="shared" si="539"/>
        <v>199686.66032363969</v>
      </c>
      <c r="AJ137" s="42">
        <f t="shared" si="539"/>
        <v>209872.68687105022</v>
      </c>
      <c r="AK137" s="42">
        <f t="shared" si="539"/>
        <v>12567957.411464062</v>
      </c>
      <c r="AL137" s="42">
        <f t="shared" si="539"/>
        <v>209872.68687105022</v>
      </c>
      <c r="AM137" s="42">
        <f t="shared" si="539"/>
        <v>5976665.8852942903</v>
      </c>
      <c r="AN137" s="42">
        <f t="shared" si="539"/>
        <v>14104351.741387701</v>
      </c>
      <c r="AO137" s="42">
        <f t="shared" si="539"/>
        <v>2972716.9382456038</v>
      </c>
      <c r="AP137" s="42">
        <f t="shared" si="539"/>
        <v>575929.69885544037</v>
      </c>
      <c r="AQ137" s="42">
        <f t="shared" si="539"/>
        <v>586635.31512735435</v>
      </c>
      <c r="AR137" s="42">
        <f t="shared" si="539"/>
        <v>0</v>
      </c>
      <c r="AS137" s="42">
        <f t="shared" si="539"/>
        <v>220578.30314296408</v>
      </c>
      <c r="AT137" s="42">
        <f t="shared" si="539"/>
        <v>231830.01343725965</v>
      </c>
      <c r="AU137" s="42">
        <f t="shared" si="539"/>
        <v>220578.30314296408</v>
      </c>
      <c r="AV137" s="42">
        <f t="shared" si="539"/>
        <v>1357505.51256401</v>
      </c>
      <c r="AW137" s="42">
        <f t="shared" si="539"/>
        <v>783416.0527063394</v>
      </c>
      <c r="AX137" s="42">
        <f t="shared" si="539"/>
        <v>798471.115849767</v>
      </c>
      <c r="AY137" s="42">
        <f t="shared" si="539"/>
        <v>9506289.7786794212</v>
      </c>
      <c r="AZ137" s="42">
        <f t="shared" si="539"/>
        <v>15522195.040850529</v>
      </c>
      <c r="BA137" s="42">
        <f t="shared" si="539"/>
        <v>3283728.9025707487</v>
      </c>
      <c r="BB137" s="42">
        <f t="shared" si="539"/>
        <v>636184.68803713168</v>
      </c>
      <c r="BC137" s="42">
        <f t="shared" si="539"/>
        <v>648010.34863725002</v>
      </c>
      <c r="BD137" s="42">
        <f t="shared" si="539"/>
        <v>256084.56217717382</v>
      </c>
      <c r="BE137" s="42">
        <f t="shared" si="539"/>
        <v>12811613.08550144</v>
      </c>
      <c r="BF137" s="42">
        <f t="shared" si="539"/>
        <v>256084.56217717382</v>
      </c>
      <c r="BG137" s="42">
        <f t="shared" si="539"/>
        <v>243655.6740373779</v>
      </c>
      <c r="BH137" s="42">
        <f t="shared" si="539"/>
        <v>256084.56217717382</v>
      </c>
      <c r="BI137" s="42">
        <f t="shared" si="539"/>
        <v>269147.44852366799</v>
      </c>
      <c r="BJ137" s="42">
        <f t="shared" si="539"/>
        <v>256084.56217717382</v>
      </c>
      <c r="BK137" s="42">
        <f t="shared" si="539"/>
        <v>7440202.2388957106</v>
      </c>
      <c r="BL137" s="42">
        <f>SUM(BL5:BL134)</f>
        <v>18395250.42810997</v>
      </c>
    </row>
  </sheetData>
  <mergeCells count="8">
    <mergeCell ref="B106:B121"/>
    <mergeCell ref="B124:B134"/>
    <mergeCell ref="B5:B21"/>
    <mergeCell ref="B24:B35"/>
    <mergeCell ref="B39:B55"/>
    <mergeCell ref="B58:B69"/>
    <mergeCell ref="B73:B88"/>
    <mergeCell ref="B91:B10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Presentation</vt:lpstr>
      <vt:lpstr>Resume</vt:lpstr>
      <vt:lpstr>1-CBA</vt:lpstr>
      <vt:lpstr>2-Benefits - EWS</vt:lpstr>
      <vt:lpstr>3-benefits - Agric. Sector</vt:lpstr>
      <vt:lpstr>4-CBA Sensitivity Analysis</vt:lpstr>
      <vt:lpstr>5-National budgets</vt:lpstr>
      <vt:lpstr>6-Investments</vt:lpstr>
      <vt:lpstr>Durée_de_vie__an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Le Gallo</dc:creator>
  <cp:lastModifiedBy>Catherine Wallis</cp:lastModifiedBy>
  <cp:lastPrinted>2019-09-05T07:34:34Z</cp:lastPrinted>
  <dcterms:created xsi:type="dcterms:W3CDTF">2019-06-11T09:41:48Z</dcterms:created>
  <dcterms:modified xsi:type="dcterms:W3CDTF">2020-03-19T18:41:10Z</dcterms:modified>
</cp:coreProperties>
</file>