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filterPrivacy="1"/>
  <xr:revisionPtr revIDLastSave="6" documentId="8_{6D498B06-A2CC-4485-85BC-B6FE15D66261}" xr6:coauthVersionLast="36" xr6:coauthVersionMax="45" xr10:uidLastSave="{673E51D7-9E6E-4FEF-A179-AAE33CBC2E6A}"/>
  <bookViews>
    <workbookView xWindow="-28920" yWindow="-120" windowWidth="29040" windowHeight="15840" xr2:uid="{00000000-000D-0000-FFFF-FFFF00000000}"/>
  </bookViews>
  <sheets>
    <sheet name="Résumé FS2" sheetId="32" r:id="rId1"/>
    <sheet name="PMC" sheetId="33" r:id="rId2"/>
    <sheet name="COM Act" sheetId="18" r:id="rId3"/>
    <sheet name="MAD Act" sheetId="28" r:id="rId4"/>
    <sheet name="SEY Act" sheetId="22" r:id="rId5"/>
    <sheet name="MAU Act" sheetId="25" r:id="rId6"/>
    <sheet name="REGIONAL" sheetId="29" r:id="rId7"/>
  </sheets>
  <externalReferences>
    <externalReference r:id="rId8"/>
    <externalReference r:id="rId9"/>
  </externalReferences>
  <definedNames>
    <definedName name="actualisation">#REF!</definedName>
    <definedName name="inflation">#REF!</definedName>
    <definedName name="_xlnm.Print_Area" localSheetId="2">'COM Act'!$C$18:$T$83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39" i="32" l="1"/>
  <c r="M25" i="32"/>
  <c r="M13" i="32"/>
  <c r="X3" i="25" l="1"/>
  <c r="V3" i="25"/>
  <c r="U3" i="25"/>
  <c r="S3" i="25"/>
  <c r="R3" i="25"/>
  <c r="Q3" i="25"/>
  <c r="P3" i="25"/>
  <c r="O3" i="25"/>
  <c r="M3" i="25"/>
  <c r="X3" i="22"/>
  <c r="V3" i="22"/>
  <c r="U3" i="22"/>
  <c r="S3" i="22"/>
  <c r="R3" i="22"/>
  <c r="Q3" i="22"/>
  <c r="P3" i="22"/>
  <c r="T3" i="22" s="1"/>
  <c r="W3" i="22" s="1"/>
  <c r="O3" i="22"/>
  <c r="M3" i="22"/>
  <c r="X5" i="28"/>
  <c r="V5" i="28"/>
  <c r="U5" i="28"/>
  <c r="S5" i="28"/>
  <c r="R5" i="28"/>
  <c r="Q5" i="28"/>
  <c r="P5" i="28"/>
  <c r="O5" i="28"/>
  <c r="M5" i="28"/>
  <c r="T3" i="25" l="1"/>
  <c r="W3" i="25" s="1"/>
  <c r="T5" i="28"/>
  <c r="W5" i="28" s="1"/>
  <c r="O14" i="18"/>
  <c r="X4" i="18"/>
  <c r="K10" i="32" s="1"/>
  <c r="V4" i="18"/>
  <c r="I10" i="32" s="1"/>
  <c r="U4" i="18"/>
  <c r="H10" i="32" s="1"/>
  <c r="S4" i="18"/>
  <c r="R4" i="18"/>
  <c r="Q4" i="18"/>
  <c r="P4" i="18"/>
  <c r="O4" i="18"/>
  <c r="M4" i="18"/>
  <c r="T4" i="18" l="1"/>
  <c r="W4" i="18" s="1"/>
  <c r="J10" i="32" l="1"/>
  <c r="K22" i="33" l="1"/>
  <c r="J22" i="33"/>
  <c r="I22" i="33"/>
  <c r="H22" i="33"/>
  <c r="G22" i="33"/>
  <c r="L20" i="33"/>
  <c r="F20" i="33"/>
  <c r="L19" i="33"/>
  <c r="F19" i="33"/>
  <c r="L17" i="33"/>
  <c r="F17" i="33"/>
  <c r="L16" i="33"/>
  <c r="F16" i="33"/>
  <c r="L15" i="33"/>
  <c r="F15" i="33"/>
  <c r="L13" i="33"/>
  <c r="F13" i="33"/>
  <c r="L12" i="33"/>
  <c r="F12" i="33"/>
  <c r="L11" i="33"/>
  <c r="F11" i="33"/>
  <c r="L10" i="33"/>
  <c r="F10" i="33"/>
  <c r="L9" i="33"/>
  <c r="F9" i="33"/>
  <c r="L8" i="33"/>
  <c r="F8" i="33"/>
  <c r="L7" i="33"/>
  <c r="F7" i="33"/>
  <c r="L6" i="33"/>
  <c r="F6" i="33"/>
  <c r="L5" i="33"/>
  <c r="F5" i="33"/>
  <c r="L4" i="33"/>
  <c r="F4" i="33"/>
  <c r="L3" i="33"/>
  <c r="F3" i="33"/>
  <c r="F22" i="33" l="1"/>
  <c r="L22" i="33"/>
  <c r="M6" i="29"/>
  <c r="M7" i="29"/>
  <c r="M8" i="29"/>
  <c r="M9" i="29"/>
  <c r="M10" i="29"/>
  <c r="M11" i="29"/>
  <c r="M12" i="29"/>
  <c r="M13" i="29"/>
  <c r="M14" i="29"/>
  <c r="M15" i="29"/>
  <c r="M16" i="29"/>
  <c r="M17" i="29"/>
  <c r="M18" i="29"/>
  <c r="M19" i="29"/>
  <c r="M20" i="29"/>
  <c r="M5" i="29"/>
  <c r="O6" i="29"/>
  <c r="P6" i="29"/>
  <c r="Q6" i="29"/>
  <c r="R6" i="29"/>
  <c r="S6" i="29"/>
  <c r="U6" i="29"/>
  <c r="V6" i="29"/>
  <c r="X6" i="29"/>
  <c r="O7" i="29"/>
  <c r="P7" i="29"/>
  <c r="Q7" i="29"/>
  <c r="R7" i="29"/>
  <c r="S7" i="29"/>
  <c r="U7" i="29"/>
  <c r="V7" i="29"/>
  <c r="X7" i="29"/>
  <c r="O8" i="29"/>
  <c r="P8" i="29"/>
  <c r="Q8" i="29"/>
  <c r="R8" i="29"/>
  <c r="S8" i="29"/>
  <c r="U8" i="29"/>
  <c r="V8" i="29"/>
  <c r="X8" i="29"/>
  <c r="O9" i="29"/>
  <c r="P9" i="29"/>
  <c r="Q9" i="29"/>
  <c r="R9" i="29"/>
  <c r="S9" i="29"/>
  <c r="U9" i="29"/>
  <c r="V9" i="29"/>
  <c r="X9" i="29"/>
  <c r="O10" i="29"/>
  <c r="P10" i="29"/>
  <c r="Q10" i="29"/>
  <c r="R10" i="29"/>
  <c r="S10" i="29"/>
  <c r="U10" i="29"/>
  <c r="V10" i="29"/>
  <c r="X10" i="29"/>
  <c r="O11" i="29"/>
  <c r="P11" i="29"/>
  <c r="Q11" i="29"/>
  <c r="R11" i="29"/>
  <c r="S11" i="29"/>
  <c r="U11" i="29"/>
  <c r="V11" i="29"/>
  <c r="X11" i="29"/>
  <c r="O12" i="29"/>
  <c r="P12" i="29"/>
  <c r="Q12" i="29"/>
  <c r="R12" i="29"/>
  <c r="S12" i="29"/>
  <c r="U12" i="29"/>
  <c r="V12" i="29"/>
  <c r="X12" i="29"/>
  <c r="O13" i="29"/>
  <c r="P13" i="29"/>
  <c r="Q13" i="29"/>
  <c r="R13" i="29"/>
  <c r="S13" i="29"/>
  <c r="U13" i="29"/>
  <c r="V13" i="29"/>
  <c r="X13" i="29"/>
  <c r="O14" i="29"/>
  <c r="P14" i="29"/>
  <c r="Q14" i="29"/>
  <c r="R14" i="29"/>
  <c r="S14" i="29"/>
  <c r="U14" i="29"/>
  <c r="V14" i="29"/>
  <c r="X14" i="29"/>
  <c r="O15" i="29"/>
  <c r="P15" i="29"/>
  <c r="Q15" i="29"/>
  <c r="R15" i="29"/>
  <c r="S15" i="29"/>
  <c r="U15" i="29"/>
  <c r="V15" i="29"/>
  <c r="X15" i="29"/>
  <c r="O16" i="29"/>
  <c r="P16" i="29"/>
  <c r="Q16" i="29"/>
  <c r="R16" i="29"/>
  <c r="S16" i="29"/>
  <c r="U16" i="29"/>
  <c r="V16" i="29"/>
  <c r="X16" i="29"/>
  <c r="O17" i="29"/>
  <c r="P17" i="29"/>
  <c r="Q17" i="29"/>
  <c r="R17" i="29"/>
  <c r="S17" i="29"/>
  <c r="U17" i="29"/>
  <c r="V17" i="29"/>
  <c r="X17" i="29"/>
  <c r="O18" i="29"/>
  <c r="P18" i="29"/>
  <c r="Q18" i="29"/>
  <c r="R18" i="29"/>
  <c r="S18" i="29"/>
  <c r="U18" i="29"/>
  <c r="V18" i="29"/>
  <c r="X18" i="29"/>
  <c r="O19" i="29"/>
  <c r="P19" i="29"/>
  <c r="Q19" i="29"/>
  <c r="R19" i="29"/>
  <c r="S19" i="29"/>
  <c r="U19" i="29"/>
  <c r="V19" i="29"/>
  <c r="X19" i="29"/>
  <c r="O20" i="29"/>
  <c r="P20" i="29"/>
  <c r="Q20" i="29"/>
  <c r="R20" i="29"/>
  <c r="S20" i="29"/>
  <c r="U20" i="29"/>
  <c r="V20" i="29"/>
  <c r="X20" i="29"/>
  <c r="X5" i="29"/>
  <c r="V5" i="29"/>
  <c r="U5" i="29"/>
  <c r="S5" i="29"/>
  <c r="R5" i="29"/>
  <c r="Q5" i="29"/>
  <c r="P5" i="29"/>
  <c r="O5" i="29"/>
  <c r="T19" i="29" l="1"/>
  <c r="W19" i="29" s="1"/>
  <c r="T17" i="29"/>
  <c r="W17" i="29" s="1"/>
  <c r="T15" i="29"/>
  <c r="W15" i="29" s="1"/>
  <c r="T11" i="29"/>
  <c r="W11" i="29" s="1"/>
  <c r="T7" i="29"/>
  <c r="W7" i="29" s="1"/>
  <c r="T16" i="29"/>
  <c r="W16" i="29" s="1"/>
  <c r="T9" i="29"/>
  <c r="W9" i="29" s="1"/>
  <c r="T5" i="29"/>
  <c r="T10" i="29"/>
  <c r="W10" i="29" s="1"/>
  <c r="T20" i="29"/>
  <c r="W20" i="29" s="1"/>
  <c r="T18" i="29"/>
  <c r="W18" i="29" s="1"/>
  <c r="T14" i="29"/>
  <c r="W14" i="29" s="1"/>
  <c r="T13" i="29"/>
  <c r="W13" i="29" s="1"/>
  <c r="T12" i="29"/>
  <c r="W12" i="29" s="1"/>
  <c r="T8" i="29"/>
  <c r="W8" i="29" s="1"/>
  <c r="T6" i="29"/>
  <c r="W6" i="29" s="1"/>
  <c r="W5" i="29" l="1"/>
  <c r="J37" i="32"/>
  <c r="X30" i="28"/>
  <c r="V30" i="28"/>
  <c r="U30" i="28"/>
  <c r="S30" i="28"/>
  <c r="R30" i="28"/>
  <c r="Q30" i="28"/>
  <c r="P30" i="28"/>
  <c r="O30" i="28"/>
  <c r="M30" i="28"/>
  <c r="T30" i="28" l="1"/>
  <c r="W30" i="28" s="1"/>
  <c r="X11" i="25"/>
  <c r="V11" i="25"/>
  <c r="U11" i="25"/>
  <c r="S11" i="25"/>
  <c r="R11" i="25"/>
  <c r="Q11" i="25"/>
  <c r="P11" i="25"/>
  <c r="O11" i="25"/>
  <c r="M11" i="25"/>
  <c r="S11" i="22"/>
  <c r="R11" i="22"/>
  <c r="Q11" i="22"/>
  <c r="P11" i="22"/>
  <c r="O11" i="22"/>
  <c r="M11" i="22"/>
  <c r="X13" i="28"/>
  <c r="V13" i="28"/>
  <c r="U13" i="28"/>
  <c r="S13" i="28"/>
  <c r="R13" i="28"/>
  <c r="Q13" i="28"/>
  <c r="P13" i="28"/>
  <c r="O13" i="28"/>
  <c r="T13" i="28" s="1"/>
  <c r="W13" i="28" s="1"/>
  <c r="M13" i="28"/>
  <c r="X12" i="18"/>
  <c r="V12" i="18"/>
  <c r="U12" i="18"/>
  <c r="S12" i="18"/>
  <c r="R12" i="18"/>
  <c r="Q12" i="18"/>
  <c r="P12" i="18"/>
  <c r="O12" i="18"/>
  <c r="M12" i="18"/>
  <c r="O4" i="29"/>
  <c r="G40" i="32"/>
  <c r="F40" i="32"/>
  <c r="E40" i="32"/>
  <c r="D40" i="32"/>
  <c r="T11" i="22" l="1"/>
  <c r="W11" i="22" s="1"/>
  <c r="T12" i="18"/>
  <c r="W12" i="18" s="1"/>
  <c r="T11" i="25"/>
  <c r="W11" i="25" s="1"/>
  <c r="M4" i="29"/>
  <c r="P4" i="29"/>
  <c r="Q4" i="29"/>
  <c r="R4" i="29"/>
  <c r="S4" i="29"/>
  <c r="U5" i="18"/>
  <c r="U43" i="28"/>
  <c r="V43" i="28"/>
  <c r="X43" i="28"/>
  <c r="U44" i="28"/>
  <c r="V44" i="28"/>
  <c r="X44" i="28"/>
  <c r="U45" i="28"/>
  <c r="V45" i="28"/>
  <c r="X45" i="28"/>
  <c r="U46" i="28"/>
  <c r="V46" i="28"/>
  <c r="X46" i="28"/>
  <c r="U47" i="28"/>
  <c r="V47" i="28"/>
  <c r="X47" i="28"/>
  <c r="U48" i="28"/>
  <c r="V48" i="28"/>
  <c r="X48" i="28"/>
  <c r="U49" i="28"/>
  <c r="X49" i="28"/>
  <c r="U50" i="28"/>
  <c r="V50" i="28"/>
  <c r="X50" i="28"/>
  <c r="U51" i="28"/>
  <c r="X51" i="28"/>
  <c r="U52" i="28"/>
  <c r="V52" i="28"/>
  <c r="X52" i="28"/>
  <c r="U53" i="28"/>
  <c r="V53" i="28"/>
  <c r="X53" i="28"/>
  <c r="U60" i="28"/>
  <c r="X60" i="28"/>
  <c r="U61" i="28"/>
  <c r="W61" i="28"/>
  <c r="X61" i="28"/>
  <c r="X62" i="28"/>
  <c r="U63" i="28"/>
  <c r="X63" i="28"/>
  <c r="U64" i="28"/>
  <c r="W64" i="28"/>
  <c r="X64" i="28"/>
  <c r="U65" i="28"/>
  <c r="W65" i="28"/>
  <c r="X65" i="28"/>
  <c r="U72" i="28"/>
  <c r="X72" i="28"/>
  <c r="U73" i="28"/>
  <c r="V73" i="28"/>
  <c r="X73" i="28"/>
  <c r="U74" i="28"/>
  <c r="V74" i="28"/>
  <c r="X74" i="28"/>
  <c r="U75" i="28"/>
  <c r="V75" i="28"/>
  <c r="X75" i="28"/>
  <c r="U87" i="28"/>
  <c r="V87" i="28"/>
  <c r="W86" i="28"/>
  <c r="V86" i="28"/>
  <c r="U86" i="28"/>
  <c r="X71" i="28"/>
  <c r="U71" i="28"/>
  <c r="X59" i="28"/>
  <c r="U59" i="28"/>
  <c r="X42" i="28"/>
  <c r="V42" i="28"/>
  <c r="U42" i="28"/>
  <c r="X29" i="28"/>
  <c r="U21" i="28"/>
  <c r="V21" i="28"/>
  <c r="W21" i="28"/>
  <c r="X21" i="28"/>
  <c r="U22" i="28"/>
  <c r="V22" i="28"/>
  <c r="X22" i="28"/>
  <c r="U23" i="28"/>
  <c r="V23" i="28"/>
  <c r="X23" i="28"/>
  <c r="U24" i="28"/>
  <c r="V24" i="28"/>
  <c r="X24" i="28"/>
  <c r="U25" i="28"/>
  <c r="V25" i="28"/>
  <c r="X25" i="28"/>
  <c r="U26" i="28"/>
  <c r="V26" i="28"/>
  <c r="X26" i="28"/>
  <c r="U27" i="28"/>
  <c r="V27" i="28"/>
  <c r="X27" i="28"/>
  <c r="U28" i="28"/>
  <c r="V28" i="28"/>
  <c r="X28" i="28"/>
  <c r="U29" i="28"/>
  <c r="V29" i="28"/>
  <c r="U31" i="28"/>
  <c r="V31" i="28"/>
  <c r="X31" i="28"/>
  <c r="U32" i="28"/>
  <c r="V32" i="28"/>
  <c r="W32" i="28"/>
  <c r="X32" i="28"/>
  <c r="U33" i="28"/>
  <c r="V33" i="28"/>
  <c r="X33" i="28"/>
  <c r="U34" i="28"/>
  <c r="V34" i="28"/>
  <c r="X34" i="28"/>
  <c r="U35" i="28"/>
  <c r="V35" i="28"/>
  <c r="X35" i="28"/>
  <c r="V36" i="28"/>
  <c r="X36" i="28"/>
  <c r="X20" i="28"/>
  <c r="W20" i="28"/>
  <c r="V20" i="28"/>
  <c r="U20" i="28"/>
  <c r="U7" i="28"/>
  <c r="V7" i="28"/>
  <c r="X7" i="28"/>
  <c r="U8" i="28"/>
  <c r="V8" i="28"/>
  <c r="X8" i="28"/>
  <c r="U9" i="28"/>
  <c r="V9" i="28"/>
  <c r="X9" i="28"/>
  <c r="U10" i="28"/>
  <c r="V10" i="28"/>
  <c r="X10" i="28"/>
  <c r="U11" i="28"/>
  <c r="V11" i="28"/>
  <c r="X11" i="28"/>
  <c r="U12" i="28"/>
  <c r="V12" i="28"/>
  <c r="X12" i="28"/>
  <c r="U14" i="28"/>
  <c r="V14" i="28"/>
  <c r="X14" i="28"/>
  <c r="U15" i="28"/>
  <c r="V15" i="28"/>
  <c r="X15" i="28"/>
  <c r="U6" i="28"/>
  <c r="U17" i="28" s="1"/>
  <c r="V6" i="28"/>
  <c r="X6" i="28"/>
  <c r="X17" i="28" l="1"/>
  <c r="V17" i="28"/>
  <c r="J8" i="32"/>
  <c r="V51" i="18"/>
  <c r="X24" i="29"/>
  <c r="V24" i="29"/>
  <c r="U24" i="29"/>
  <c r="S24" i="29"/>
  <c r="R24" i="29"/>
  <c r="Q24" i="29"/>
  <c r="P24" i="29"/>
  <c r="O24" i="29"/>
  <c r="M24" i="29"/>
  <c r="U22" i="18"/>
  <c r="V22" i="18"/>
  <c r="X22" i="18"/>
  <c r="U23" i="18"/>
  <c r="V23" i="18"/>
  <c r="X23" i="18"/>
  <c r="U24" i="18"/>
  <c r="V24" i="18"/>
  <c r="X24" i="18"/>
  <c r="U25" i="18"/>
  <c r="V25" i="18"/>
  <c r="X25" i="18"/>
  <c r="U26" i="18"/>
  <c r="V26" i="18"/>
  <c r="X26" i="18"/>
  <c r="U27" i="18"/>
  <c r="V27" i="18"/>
  <c r="X27" i="18"/>
  <c r="U28" i="18"/>
  <c r="V28" i="18"/>
  <c r="X28" i="18"/>
  <c r="U29" i="18"/>
  <c r="V29" i="18"/>
  <c r="X29" i="18"/>
  <c r="U59" i="18"/>
  <c r="X59" i="18"/>
  <c r="U60" i="18"/>
  <c r="X60" i="18"/>
  <c r="U61" i="18"/>
  <c r="W61" i="18"/>
  <c r="X61" i="18"/>
  <c r="W62" i="18"/>
  <c r="X62" i="18"/>
  <c r="U63" i="18"/>
  <c r="X63" i="18"/>
  <c r="U23" i="22"/>
  <c r="V23" i="22"/>
  <c r="X23" i="22"/>
  <c r="U24" i="22"/>
  <c r="V24" i="22"/>
  <c r="X24" i="22"/>
  <c r="U25" i="22"/>
  <c r="V25" i="22"/>
  <c r="X25" i="22"/>
  <c r="U26" i="22"/>
  <c r="V26" i="22"/>
  <c r="X26" i="22"/>
  <c r="U27" i="22"/>
  <c r="V27" i="22"/>
  <c r="X27" i="22"/>
  <c r="U28" i="22"/>
  <c r="V28" i="22"/>
  <c r="X28" i="22"/>
  <c r="U29" i="22"/>
  <c r="V29" i="22"/>
  <c r="X29" i="22"/>
  <c r="U30" i="22"/>
  <c r="V30" i="22"/>
  <c r="X30" i="22"/>
  <c r="U23" i="25"/>
  <c r="V23" i="25"/>
  <c r="X23" i="25"/>
  <c r="U24" i="25"/>
  <c r="V24" i="25"/>
  <c r="X24" i="25"/>
  <c r="U25" i="25"/>
  <c r="V25" i="25"/>
  <c r="X25" i="25"/>
  <c r="U26" i="25"/>
  <c r="V26" i="25"/>
  <c r="X26" i="25"/>
  <c r="U27" i="25"/>
  <c r="V27" i="25"/>
  <c r="X27" i="25"/>
  <c r="U28" i="25"/>
  <c r="V28" i="25"/>
  <c r="X28" i="25"/>
  <c r="U29" i="25"/>
  <c r="V29" i="25"/>
  <c r="X29" i="25"/>
  <c r="S60" i="18"/>
  <c r="R60" i="18"/>
  <c r="Q60" i="18"/>
  <c r="P60" i="18"/>
  <c r="O60" i="18"/>
  <c r="M60" i="18"/>
  <c r="X5" i="18"/>
  <c r="X6" i="18"/>
  <c r="X7" i="18"/>
  <c r="X8" i="18"/>
  <c r="X9" i="18"/>
  <c r="X10" i="18"/>
  <c r="X11" i="18"/>
  <c r="X13" i="18"/>
  <c r="X14" i="18"/>
  <c r="V5" i="18"/>
  <c r="U6" i="18"/>
  <c r="U16" i="18" s="1"/>
  <c r="V6" i="18"/>
  <c r="U7" i="18"/>
  <c r="V7" i="18"/>
  <c r="U8" i="18"/>
  <c r="V8" i="18"/>
  <c r="U9" i="18"/>
  <c r="V9" i="18"/>
  <c r="U10" i="18"/>
  <c r="V10" i="18"/>
  <c r="U11" i="18"/>
  <c r="V11" i="18"/>
  <c r="U13" i="18"/>
  <c r="V13" i="18"/>
  <c r="U14" i="18"/>
  <c r="V14" i="18"/>
  <c r="S11" i="18"/>
  <c r="R11" i="18"/>
  <c r="Q11" i="18"/>
  <c r="P11" i="18"/>
  <c r="O11" i="18"/>
  <c r="M11" i="18"/>
  <c r="S10" i="18"/>
  <c r="R10" i="18"/>
  <c r="Q10" i="18"/>
  <c r="P10" i="18"/>
  <c r="O10" i="18"/>
  <c r="M10" i="18"/>
  <c r="S9" i="18"/>
  <c r="R9" i="18"/>
  <c r="Q9" i="18"/>
  <c r="P9" i="18"/>
  <c r="O9" i="18"/>
  <c r="M9" i="18"/>
  <c r="S8" i="18"/>
  <c r="R8" i="18"/>
  <c r="Q8" i="18"/>
  <c r="P8" i="18"/>
  <c r="O8" i="18"/>
  <c r="M8" i="18"/>
  <c r="S5" i="18"/>
  <c r="R5" i="18"/>
  <c r="Q5" i="18"/>
  <c r="P5" i="18"/>
  <c r="O5" i="18"/>
  <c r="M5" i="18"/>
  <c r="X67" i="28"/>
  <c r="S59" i="28"/>
  <c r="R59" i="28"/>
  <c r="Q59" i="28"/>
  <c r="P59" i="28"/>
  <c r="O59" i="28"/>
  <c r="M59" i="28"/>
  <c r="S12" i="28"/>
  <c r="R12" i="28"/>
  <c r="Q12" i="28"/>
  <c r="P12" i="28"/>
  <c r="O12" i="28"/>
  <c r="M12" i="28"/>
  <c r="S11" i="28"/>
  <c r="R11" i="28"/>
  <c r="Q11" i="28"/>
  <c r="P11" i="28"/>
  <c r="O11" i="28"/>
  <c r="M11" i="28"/>
  <c r="S10" i="28"/>
  <c r="R10" i="28"/>
  <c r="Q10" i="28"/>
  <c r="P10" i="28"/>
  <c r="O10" i="28"/>
  <c r="M10" i="28"/>
  <c r="S9" i="28"/>
  <c r="R9" i="28"/>
  <c r="Q9" i="28"/>
  <c r="P9" i="28"/>
  <c r="O9" i="28"/>
  <c r="M9" i="28"/>
  <c r="S6" i="28"/>
  <c r="R6" i="28"/>
  <c r="Q6" i="28"/>
  <c r="P6" i="28"/>
  <c r="O6" i="28"/>
  <c r="M6" i="28"/>
  <c r="S10" i="22"/>
  <c r="R10" i="22"/>
  <c r="Q10" i="22"/>
  <c r="P10" i="22"/>
  <c r="O10" i="22"/>
  <c r="M10" i="22"/>
  <c r="S9" i="22"/>
  <c r="R9" i="22"/>
  <c r="Q9" i="22"/>
  <c r="P9" i="22"/>
  <c r="O9" i="22"/>
  <c r="M9" i="22"/>
  <c r="S8" i="22"/>
  <c r="R8" i="22"/>
  <c r="Q8" i="22"/>
  <c r="P8" i="22"/>
  <c r="O8" i="22"/>
  <c r="M8" i="22"/>
  <c r="S7" i="22"/>
  <c r="R7" i="22"/>
  <c r="Q7" i="22"/>
  <c r="P7" i="22"/>
  <c r="O7" i="22"/>
  <c r="M7" i="22"/>
  <c r="S4" i="22"/>
  <c r="R4" i="22"/>
  <c r="Q4" i="22"/>
  <c r="P4" i="22"/>
  <c r="O4" i="22"/>
  <c r="M4" i="22"/>
  <c r="X10" i="25"/>
  <c r="V10" i="25"/>
  <c r="U10" i="25"/>
  <c r="S10" i="25"/>
  <c r="R10" i="25"/>
  <c r="Q10" i="25"/>
  <c r="P10" i="25"/>
  <c r="O10" i="25"/>
  <c r="M10" i="25"/>
  <c r="X9" i="25"/>
  <c r="V9" i="25"/>
  <c r="U9" i="25"/>
  <c r="S9" i="25"/>
  <c r="R9" i="25"/>
  <c r="Q9" i="25"/>
  <c r="P9" i="25"/>
  <c r="O9" i="25"/>
  <c r="M9" i="25"/>
  <c r="X12" i="25"/>
  <c r="V12" i="25"/>
  <c r="U12" i="25"/>
  <c r="S12" i="25"/>
  <c r="R12" i="25"/>
  <c r="Q12" i="25"/>
  <c r="P12" i="25"/>
  <c r="O12" i="25"/>
  <c r="M12" i="25"/>
  <c r="V16" i="18" l="1"/>
  <c r="X16" i="18"/>
  <c r="T24" i="29"/>
  <c r="W24" i="29" s="1"/>
  <c r="T60" i="18"/>
  <c r="T8" i="18"/>
  <c r="W8" i="18" s="1"/>
  <c r="T9" i="18"/>
  <c r="W9" i="18" s="1"/>
  <c r="T10" i="18"/>
  <c r="W10" i="18" s="1"/>
  <c r="T5" i="18"/>
  <c r="W5" i="18" s="1"/>
  <c r="T11" i="18"/>
  <c r="W11" i="18" s="1"/>
  <c r="T59" i="28"/>
  <c r="T10" i="28"/>
  <c r="W10" i="28" s="1"/>
  <c r="T6" i="28"/>
  <c r="W6" i="28" s="1"/>
  <c r="T12" i="28"/>
  <c r="W12" i="28" s="1"/>
  <c r="T11" i="28"/>
  <c r="W11" i="28" s="1"/>
  <c r="T9" i="28"/>
  <c r="W9" i="28" s="1"/>
  <c r="T8" i="22"/>
  <c r="W8" i="22" s="1"/>
  <c r="T7" i="22"/>
  <c r="W7" i="22" s="1"/>
  <c r="T4" i="22"/>
  <c r="W4" i="22" s="1"/>
  <c r="T10" i="22"/>
  <c r="W10" i="22" s="1"/>
  <c r="T9" i="22"/>
  <c r="W9" i="22" s="1"/>
  <c r="T10" i="25"/>
  <c r="W10" i="25" s="1"/>
  <c r="T9" i="25"/>
  <c r="W9" i="25" s="1"/>
  <c r="T12" i="25"/>
  <c r="W12" i="25" s="1"/>
  <c r="W60" i="18" l="1"/>
  <c r="V60" i="18"/>
  <c r="W59" i="28"/>
  <c r="V59" i="28"/>
  <c r="S29" i="25"/>
  <c r="R29" i="25"/>
  <c r="Q29" i="25"/>
  <c r="P29" i="25"/>
  <c r="O29" i="25"/>
  <c r="M29" i="25"/>
  <c r="S28" i="25"/>
  <c r="R28" i="25"/>
  <c r="Q28" i="25"/>
  <c r="P28" i="25"/>
  <c r="O28" i="25"/>
  <c r="M28" i="25"/>
  <c r="S27" i="25"/>
  <c r="R27" i="25"/>
  <c r="Q27" i="25"/>
  <c r="P27" i="25"/>
  <c r="O27" i="25"/>
  <c r="M27" i="25"/>
  <c r="S26" i="25"/>
  <c r="R26" i="25"/>
  <c r="Q26" i="25"/>
  <c r="P26" i="25"/>
  <c r="O26" i="25"/>
  <c r="M26" i="25"/>
  <c r="S25" i="25"/>
  <c r="R25" i="25"/>
  <c r="Q25" i="25"/>
  <c r="P25" i="25"/>
  <c r="O25" i="25"/>
  <c r="M25" i="25"/>
  <c r="S24" i="25"/>
  <c r="R24" i="25"/>
  <c r="Q24" i="25"/>
  <c r="P24" i="25"/>
  <c r="O24" i="25"/>
  <c r="M24" i="25"/>
  <c r="S23" i="25"/>
  <c r="R23" i="25"/>
  <c r="Q23" i="25"/>
  <c r="P23" i="25"/>
  <c r="O23" i="25"/>
  <c r="M23" i="25"/>
  <c r="S29" i="22"/>
  <c r="R29" i="22"/>
  <c r="Q29" i="22"/>
  <c r="P29" i="22"/>
  <c r="O29" i="22"/>
  <c r="M29" i="22"/>
  <c r="S28" i="22"/>
  <c r="R28" i="22"/>
  <c r="Q28" i="22"/>
  <c r="P28" i="22"/>
  <c r="O28" i="22"/>
  <c r="M28" i="22"/>
  <c r="S27" i="22"/>
  <c r="R27" i="22"/>
  <c r="Q27" i="22"/>
  <c r="P27" i="22"/>
  <c r="O27" i="22"/>
  <c r="M27" i="22"/>
  <c r="S26" i="22"/>
  <c r="R26" i="22"/>
  <c r="Q26" i="22"/>
  <c r="P26" i="22"/>
  <c r="O26" i="22"/>
  <c r="M26" i="22"/>
  <c r="S25" i="22"/>
  <c r="R25" i="22"/>
  <c r="Q25" i="22"/>
  <c r="P25" i="22"/>
  <c r="O25" i="22"/>
  <c r="M25" i="22"/>
  <c r="S24" i="22"/>
  <c r="R24" i="22"/>
  <c r="Q24" i="22"/>
  <c r="P24" i="22"/>
  <c r="O24" i="22"/>
  <c r="M24" i="22"/>
  <c r="S23" i="22"/>
  <c r="R23" i="22"/>
  <c r="Q23" i="22"/>
  <c r="P23" i="22"/>
  <c r="O23" i="22"/>
  <c r="M23" i="22"/>
  <c r="S29" i="18"/>
  <c r="R29" i="18"/>
  <c r="Q29" i="18"/>
  <c r="P29" i="18"/>
  <c r="O29" i="18"/>
  <c r="M29" i="18"/>
  <c r="S28" i="18"/>
  <c r="R28" i="18"/>
  <c r="Q28" i="18"/>
  <c r="P28" i="18"/>
  <c r="O28" i="18"/>
  <c r="M28" i="18"/>
  <c r="S27" i="18"/>
  <c r="R27" i="18"/>
  <c r="Q27" i="18"/>
  <c r="P27" i="18"/>
  <c r="O27" i="18"/>
  <c r="M27" i="18"/>
  <c r="S26" i="18"/>
  <c r="R26" i="18"/>
  <c r="Q26" i="18"/>
  <c r="P26" i="18"/>
  <c r="O26" i="18"/>
  <c r="M26" i="18"/>
  <c r="S25" i="18"/>
  <c r="R25" i="18"/>
  <c r="Q25" i="18"/>
  <c r="P25" i="18"/>
  <c r="O25" i="18"/>
  <c r="M25" i="18"/>
  <c r="S24" i="18"/>
  <c r="R24" i="18"/>
  <c r="Q24" i="18"/>
  <c r="P24" i="18"/>
  <c r="O24" i="18"/>
  <c r="M24" i="18"/>
  <c r="S23" i="18"/>
  <c r="R23" i="18"/>
  <c r="Q23" i="18"/>
  <c r="P23" i="18"/>
  <c r="O23" i="18"/>
  <c r="M23" i="18"/>
  <c r="P28" i="28"/>
  <c r="P29" i="28"/>
  <c r="O29" i="28"/>
  <c r="Q29" i="28"/>
  <c r="M29" i="28"/>
  <c r="M28" i="28"/>
  <c r="R29" i="28"/>
  <c r="S29" i="28"/>
  <c r="O28" i="28"/>
  <c r="Q28" i="28"/>
  <c r="R28" i="28"/>
  <c r="S28" i="28"/>
  <c r="S27" i="28"/>
  <c r="R27" i="28"/>
  <c r="Q27" i="28"/>
  <c r="P27" i="28"/>
  <c r="O27" i="28"/>
  <c r="M27" i="28"/>
  <c r="S26" i="28"/>
  <c r="R26" i="28"/>
  <c r="Q26" i="28"/>
  <c r="P26" i="28"/>
  <c r="O26" i="28"/>
  <c r="M26" i="28"/>
  <c r="S25" i="28"/>
  <c r="R25" i="28"/>
  <c r="Q25" i="28"/>
  <c r="P25" i="28"/>
  <c r="O25" i="28"/>
  <c r="M25" i="28"/>
  <c r="S24" i="28"/>
  <c r="R24" i="28"/>
  <c r="Q24" i="28"/>
  <c r="P24" i="28"/>
  <c r="O24" i="28"/>
  <c r="M24" i="28"/>
  <c r="S23" i="28"/>
  <c r="R23" i="28"/>
  <c r="Q23" i="28"/>
  <c r="P23" i="28"/>
  <c r="O23" i="28"/>
  <c r="M23" i="28"/>
  <c r="T27" i="18" l="1"/>
  <c r="W27" i="18" s="1"/>
  <c r="T28" i="28"/>
  <c r="W28" i="28" s="1"/>
  <c r="T29" i="28"/>
  <c r="W29" i="28" s="1"/>
  <c r="T25" i="22"/>
  <c r="W25" i="22" s="1"/>
  <c r="T27" i="22"/>
  <c r="W27" i="22" s="1"/>
  <c r="T23" i="22"/>
  <c r="W23" i="22" s="1"/>
  <c r="T28" i="22"/>
  <c r="W28" i="22" s="1"/>
  <c r="T28" i="25"/>
  <c r="W28" i="25" s="1"/>
  <c r="T27" i="25"/>
  <c r="W27" i="25" s="1"/>
  <c r="T23" i="25"/>
  <c r="W23" i="25" s="1"/>
  <c r="T26" i="25"/>
  <c r="W26" i="25" s="1"/>
  <c r="T24" i="25"/>
  <c r="W24" i="25" s="1"/>
  <c r="T25" i="25"/>
  <c r="W25" i="25" s="1"/>
  <c r="T29" i="25"/>
  <c r="W29" i="25" s="1"/>
  <c r="T24" i="22"/>
  <c r="W24" i="22" s="1"/>
  <c r="T29" i="22"/>
  <c r="W29" i="22" s="1"/>
  <c r="T26" i="22"/>
  <c r="W26" i="22" s="1"/>
  <c r="T26" i="18"/>
  <c r="W26" i="18" s="1"/>
  <c r="T23" i="18"/>
  <c r="W23" i="18" s="1"/>
  <c r="T25" i="18"/>
  <c r="W25" i="18" s="1"/>
  <c r="T29" i="18"/>
  <c r="W29" i="18" s="1"/>
  <c r="T24" i="18"/>
  <c r="W24" i="18" s="1"/>
  <c r="T28" i="18"/>
  <c r="W28" i="18" s="1"/>
  <c r="T24" i="28"/>
  <c r="W24" i="28" s="1"/>
  <c r="T25" i="28"/>
  <c r="W25" i="28" s="1"/>
  <c r="T26" i="28"/>
  <c r="W26" i="28" s="1"/>
  <c r="T23" i="28"/>
  <c r="W23" i="28" s="1"/>
  <c r="T27" i="28"/>
  <c r="W27" i="28" s="1"/>
  <c r="X74" i="18"/>
  <c r="V74" i="18"/>
  <c r="U74" i="18"/>
  <c r="S74" i="18"/>
  <c r="R74" i="18"/>
  <c r="Q74" i="18"/>
  <c r="P74" i="18"/>
  <c r="O74" i="18"/>
  <c r="M74" i="18"/>
  <c r="T74" i="18" l="1"/>
  <c r="W74" i="18" s="1"/>
  <c r="O22" i="29"/>
  <c r="P22" i="29"/>
  <c r="Q22" i="29"/>
  <c r="R22" i="29"/>
  <c r="S22" i="29"/>
  <c r="O23" i="29"/>
  <c r="P23" i="29"/>
  <c r="Q23" i="29"/>
  <c r="R23" i="29"/>
  <c r="S23" i="29"/>
  <c r="O27" i="29"/>
  <c r="P27" i="29"/>
  <c r="Q27" i="29"/>
  <c r="R27" i="29"/>
  <c r="S27" i="29"/>
  <c r="M22" i="29"/>
  <c r="M23" i="29"/>
  <c r="M25" i="29"/>
  <c r="M26" i="29"/>
  <c r="M27" i="29"/>
  <c r="M28" i="29"/>
  <c r="M29" i="29"/>
  <c r="E73" i="29"/>
  <c r="F73" i="29"/>
  <c r="M74" i="29"/>
  <c r="O74" i="29"/>
  <c r="P74" i="29"/>
  <c r="Q74" i="29"/>
  <c r="R74" i="29"/>
  <c r="S74" i="29"/>
  <c r="U74" i="29"/>
  <c r="V74" i="29"/>
  <c r="X74" i="29"/>
  <c r="M75" i="29"/>
  <c r="O75" i="29"/>
  <c r="P75" i="29"/>
  <c r="Q75" i="29"/>
  <c r="R75" i="29"/>
  <c r="S75" i="29"/>
  <c r="U75" i="29"/>
  <c r="V75" i="29"/>
  <c r="X75" i="29"/>
  <c r="M76" i="29"/>
  <c r="O76" i="29"/>
  <c r="P76" i="29"/>
  <c r="Q76" i="29"/>
  <c r="R76" i="29"/>
  <c r="S76" i="29"/>
  <c r="U76" i="29"/>
  <c r="V76" i="29"/>
  <c r="X76" i="29"/>
  <c r="M77" i="29"/>
  <c r="O77" i="29"/>
  <c r="P77" i="29"/>
  <c r="Q77" i="29"/>
  <c r="R77" i="29"/>
  <c r="S77" i="29"/>
  <c r="U77" i="29"/>
  <c r="V77" i="29"/>
  <c r="X77" i="29"/>
  <c r="M78" i="29"/>
  <c r="O78" i="29"/>
  <c r="P78" i="29"/>
  <c r="Q78" i="29"/>
  <c r="R78" i="29"/>
  <c r="S78" i="29"/>
  <c r="U78" i="29"/>
  <c r="V78" i="29"/>
  <c r="X78" i="29"/>
  <c r="X29" i="29"/>
  <c r="K31" i="32" s="1"/>
  <c r="S29" i="29"/>
  <c r="R29" i="29"/>
  <c r="Q29" i="29"/>
  <c r="P29" i="29"/>
  <c r="O29" i="29"/>
  <c r="X28" i="29"/>
  <c r="S28" i="29"/>
  <c r="R28" i="29"/>
  <c r="Q28" i="29"/>
  <c r="P28" i="29"/>
  <c r="O28" i="29"/>
  <c r="X27" i="29"/>
  <c r="K30" i="32" s="1"/>
  <c r="S102" i="29"/>
  <c r="S104" i="29" s="1"/>
  <c r="R102" i="29"/>
  <c r="R104" i="29" s="1"/>
  <c r="Q102" i="29"/>
  <c r="Q104" i="29" s="1"/>
  <c r="P102" i="29"/>
  <c r="P104" i="29" s="1"/>
  <c r="O102" i="29"/>
  <c r="S101" i="29"/>
  <c r="R101" i="29"/>
  <c r="Q101" i="29"/>
  <c r="P101" i="29"/>
  <c r="O101" i="29"/>
  <c r="O92" i="29"/>
  <c r="X90" i="29"/>
  <c r="V90" i="29"/>
  <c r="U90" i="29"/>
  <c r="M90" i="29"/>
  <c r="X89" i="29"/>
  <c r="V89" i="29"/>
  <c r="U89" i="29"/>
  <c r="M89" i="29"/>
  <c r="X68" i="29"/>
  <c r="W68" i="29"/>
  <c r="U68" i="29"/>
  <c r="S68" i="29"/>
  <c r="R68" i="29"/>
  <c r="Q68" i="29"/>
  <c r="P68" i="29"/>
  <c r="O68" i="29"/>
  <c r="M68" i="29"/>
  <c r="X67" i="29"/>
  <c r="W67" i="29"/>
  <c r="U67" i="29"/>
  <c r="S67" i="29"/>
  <c r="R67" i="29"/>
  <c r="Q67" i="29"/>
  <c r="P67" i="29"/>
  <c r="O67" i="29"/>
  <c r="M67" i="29"/>
  <c r="X66" i="29"/>
  <c r="W66" i="29"/>
  <c r="U66" i="29"/>
  <c r="S66" i="29"/>
  <c r="R66" i="29"/>
  <c r="Q66" i="29"/>
  <c r="P66" i="29"/>
  <c r="O66" i="29"/>
  <c r="M66" i="29"/>
  <c r="X65" i="29"/>
  <c r="W65" i="29"/>
  <c r="V65" i="29"/>
  <c r="U65" i="29"/>
  <c r="S65" i="29"/>
  <c r="R65" i="29"/>
  <c r="Q65" i="29"/>
  <c r="P65" i="29"/>
  <c r="O65" i="29"/>
  <c r="M65" i="29"/>
  <c r="X64" i="29"/>
  <c r="W64" i="29"/>
  <c r="V64" i="29"/>
  <c r="U64" i="29"/>
  <c r="S64" i="29"/>
  <c r="R64" i="29"/>
  <c r="Q64" i="29"/>
  <c r="P64" i="29"/>
  <c r="O64" i="29"/>
  <c r="M64" i="29"/>
  <c r="X63" i="29"/>
  <c r="W63" i="29"/>
  <c r="V63" i="29"/>
  <c r="U63" i="29"/>
  <c r="S63" i="29"/>
  <c r="R63" i="29"/>
  <c r="Q63" i="29"/>
  <c r="P63" i="29"/>
  <c r="O63" i="29"/>
  <c r="M63" i="29"/>
  <c r="X62" i="29"/>
  <c r="V62" i="29"/>
  <c r="U62" i="29"/>
  <c r="S62" i="29"/>
  <c r="R62" i="29"/>
  <c r="Q62" i="29"/>
  <c r="P62" i="29"/>
  <c r="O62" i="29"/>
  <c r="M62" i="29"/>
  <c r="F61" i="29"/>
  <c r="E61" i="29"/>
  <c r="X55" i="29"/>
  <c r="V55" i="29"/>
  <c r="U55" i="29"/>
  <c r="S55" i="29"/>
  <c r="R55" i="29"/>
  <c r="Q55" i="29"/>
  <c r="P55" i="29"/>
  <c r="O55" i="29"/>
  <c r="M55" i="29"/>
  <c r="X54" i="29"/>
  <c r="W54" i="29"/>
  <c r="V54" i="29"/>
  <c r="U54" i="29"/>
  <c r="S54" i="29"/>
  <c r="R54" i="29"/>
  <c r="Q54" i="29"/>
  <c r="P54" i="29"/>
  <c r="O54" i="29"/>
  <c r="M54" i="29"/>
  <c r="X53" i="29"/>
  <c r="W53" i="29"/>
  <c r="U53" i="29"/>
  <c r="S53" i="29"/>
  <c r="R53" i="29"/>
  <c r="Q53" i="29"/>
  <c r="P53" i="29"/>
  <c r="O53" i="29"/>
  <c r="M53" i="29"/>
  <c r="X52" i="29"/>
  <c r="W52" i="29"/>
  <c r="V52" i="29"/>
  <c r="U52" i="29"/>
  <c r="S52" i="29"/>
  <c r="R52" i="29"/>
  <c r="Q52" i="29"/>
  <c r="P52" i="29"/>
  <c r="O52" i="29"/>
  <c r="M52" i="29"/>
  <c r="X51" i="29"/>
  <c r="W51" i="29"/>
  <c r="U51" i="29"/>
  <c r="S51" i="29"/>
  <c r="R51" i="29"/>
  <c r="Q51" i="29"/>
  <c r="P51" i="29"/>
  <c r="O51" i="29"/>
  <c r="M51" i="29"/>
  <c r="X50" i="29"/>
  <c r="V50" i="29"/>
  <c r="U50" i="29"/>
  <c r="S50" i="29"/>
  <c r="R50" i="29"/>
  <c r="Q50" i="29"/>
  <c r="P50" i="29"/>
  <c r="O50" i="29"/>
  <c r="M50" i="29"/>
  <c r="X49" i="29"/>
  <c r="W49" i="29"/>
  <c r="V49" i="29"/>
  <c r="U49" i="29"/>
  <c r="S49" i="29"/>
  <c r="R49" i="29"/>
  <c r="Q49" i="29"/>
  <c r="P49" i="29"/>
  <c r="O49" i="29"/>
  <c r="M49" i="29"/>
  <c r="X48" i="29"/>
  <c r="K22" i="32" s="1"/>
  <c r="V48" i="29"/>
  <c r="I22" i="32" s="1"/>
  <c r="U48" i="29"/>
  <c r="H22" i="32" s="1"/>
  <c r="S48" i="29"/>
  <c r="R48" i="29"/>
  <c r="Q48" i="29"/>
  <c r="P48" i="29"/>
  <c r="O48" i="29"/>
  <c r="M48" i="29"/>
  <c r="X47" i="29"/>
  <c r="K21" i="32" s="1"/>
  <c r="V47" i="29"/>
  <c r="I21" i="32" s="1"/>
  <c r="U47" i="29"/>
  <c r="H21" i="32" s="1"/>
  <c r="S47" i="29"/>
  <c r="R47" i="29"/>
  <c r="Q47" i="29"/>
  <c r="P47" i="29"/>
  <c r="O47" i="29"/>
  <c r="M47" i="29"/>
  <c r="X46" i="29"/>
  <c r="K20" i="32" s="1"/>
  <c r="V46" i="29"/>
  <c r="I20" i="32" s="1"/>
  <c r="U46" i="29"/>
  <c r="H20" i="32" s="1"/>
  <c r="S46" i="29"/>
  <c r="R46" i="29"/>
  <c r="Q46" i="29"/>
  <c r="P46" i="29"/>
  <c r="O46" i="29"/>
  <c r="M46" i="29"/>
  <c r="X45" i="29"/>
  <c r="K19" i="32" s="1"/>
  <c r="V45" i="29"/>
  <c r="I19" i="32" s="1"/>
  <c r="U45" i="29"/>
  <c r="H19" i="32" s="1"/>
  <c r="S45" i="29"/>
  <c r="R45" i="29"/>
  <c r="Q45" i="29"/>
  <c r="P45" i="29"/>
  <c r="O45" i="29"/>
  <c r="M45" i="29"/>
  <c r="X44" i="29"/>
  <c r="V44" i="29"/>
  <c r="S44" i="29"/>
  <c r="R44" i="29"/>
  <c r="Q44" i="29"/>
  <c r="P44" i="29"/>
  <c r="O44" i="29"/>
  <c r="M44" i="29"/>
  <c r="F43" i="29"/>
  <c r="E43" i="29"/>
  <c r="X38" i="29"/>
  <c r="W38" i="29"/>
  <c r="V38" i="29"/>
  <c r="S38" i="29"/>
  <c r="R38" i="29"/>
  <c r="Q38" i="29"/>
  <c r="O38" i="29"/>
  <c r="X37" i="29"/>
  <c r="W37" i="29"/>
  <c r="V37" i="29"/>
  <c r="U37" i="29"/>
  <c r="Q37" i="29"/>
  <c r="P37" i="29"/>
  <c r="O37" i="29"/>
  <c r="S37" i="29"/>
  <c r="R37" i="29"/>
  <c r="X36" i="29"/>
  <c r="W36" i="29"/>
  <c r="V36" i="29"/>
  <c r="S36" i="29"/>
  <c r="R36" i="29"/>
  <c r="Q36" i="29"/>
  <c r="P36" i="29"/>
  <c r="O36" i="29"/>
  <c r="M36" i="29"/>
  <c r="X35" i="29"/>
  <c r="V35" i="29"/>
  <c r="S35" i="29"/>
  <c r="R35" i="29"/>
  <c r="Q35" i="29"/>
  <c r="P35" i="29"/>
  <c r="O35" i="29"/>
  <c r="M35" i="29"/>
  <c r="X30" i="29"/>
  <c r="V30" i="29"/>
  <c r="U30" i="29"/>
  <c r="S30" i="29"/>
  <c r="R30" i="29"/>
  <c r="Q30" i="29"/>
  <c r="P30" i="29"/>
  <c r="O30" i="29"/>
  <c r="M30" i="29"/>
  <c r="X26" i="29"/>
  <c r="V26" i="29"/>
  <c r="I33" i="32" s="1"/>
  <c r="U26" i="29"/>
  <c r="H33" i="32" s="1"/>
  <c r="S26" i="29"/>
  <c r="R26" i="29"/>
  <c r="Q26" i="29"/>
  <c r="P26" i="29"/>
  <c r="O26" i="29"/>
  <c r="X25" i="29"/>
  <c r="V25" i="29"/>
  <c r="U25" i="29"/>
  <c r="S25" i="29"/>
  <c r="R25" i="29"/>
  <c r="Q25" i="29"/>
  <c r="P25" i="29"/>
  <c r="O25" i="29"/>
  <c r="X23" i="29"/>
  <c r="V23" i="29"/>
  <c r="U23" i="29"/>
  <c r="X22" i="29"/>
  <c r="V22" i="29"/>
  <c r="U22" i="29"/>
  <c r="X21" i="29"/>
  <c r="V21" i="29"/>
  <c r="U21" i="29"/>
  <c r="S21" i="29"/>
  <c r="R21" i="29"/>
  <c r="Q21" i="29"/>
  <c r="P21" i="29"/>
  <c r="O21" i="29"/>
  <c r="M21" i="29"/>
  <c r="X4" i="29"/>
  <c r="K37" i="32" s="1"/>
  <c r="V4" i="29"/>
  <c r="I37" i="32" s="1"/>
  <c r="U4" i="29"/>
  <c r="H37" i="32" s="1"/>
  <c r="F3" i="29"/>
  <c r="E3" i="29"/>
  <c r="N37" i="32" l="1"/>
  <c r="K33" i="32"/>
  <c r="K29" i="32"/>
  <c r="K3" i="32"/>
  <c r="K17" i="32"/>
  <c r="H4" i="32"/>
  <c r="H5" i="32"/>
  <c r="H3" i="32"/>
  <c r="I4" i="32"/>
  <c r="I5" i="32"/>
  <c r="I18" i="32"/>
  <c r="I34" i="32"/>
  <c r="I2" i="32"/>
  <c r="K2" i="32"/>
  <c r="K34" i="32"/>
  <c r="H2" i="32"/>
  <c r="I3" i="32"/>
  <c r="K4" i="32"/>
  <c r="K5" i="32"/>
  <c r="I17" i="32"/>
  <c r="K18" i="32"/>
  <c r="H34" i="32"/>
  <c r="X32" i="29"/>
  <c r="O80" i="29"/>
  <c r="T77" i="29"/>
  <c r="W77" i="29" s="1"/>
  <c r="S80" i="29"/>
  <c r="T27" i="29"/>
  <c r="V27" i="29" s="1"/>
  <c r="I30" i="32" s="1"/>
  <c r="V92" i="29"/>
  <c r="V80" i="29"/>
  <c r="X80" i="29"/>
  <c r="U80" i="29"/>
  <c r="T74" i="29"/>
  <c r="W74" i="29" s="1"/>
  <c r="T78" i="29"/>
  <c r="W78" i="29" s="1"/>
  <c r="U92" i="29"/>
  <c r="R80" i="29"/>
  <c r="T76" i="29"/>
  <c r="W76" i="29" s="1"/>
  <c r="Q80" i="29"/>
  <c r="T75" i="29"/>
  <c r="W75" i="29" s="1"/>
  <c r="P80" i="29"/>
  <c r="Q57" i="29"/>
  <c r="T52" i="29"/>
  <c r="T101" i="29"/>
  <c r="T28" i="29"/>
  <c r="V28" i="29" s="1"/>
  <c r="I29" i="32" s="1"/>
  <c r="T29" i="29"/>
  <c r="V29" i="29" s="1"/>
  <c r="I31" i="32" s="1"/>
  <c r="U70" i="29"/>
  <c r="T36" i="29"/>
  <c r="U36" i="29" s="1"/>
  <c r="T49" i="29"/>
  <c r="Q70" i="29"/>
  <c r="T102" i="29"/>
  <c r="M37" i="29"/>
  <c r="M38" i="29"/>
  <c r="T45" i="29"/>
  <c r="W45" i="29" s="1"/>
  <c r="J19" i="32" s="1"/>
  <c r="S57" i="29"/>
  <c r="T67" i="29"/>
  <c r="V67" i="29" s="1"/>
  <c r="O104" i="29"/>
  <c r="T104" i="29" s="1"/>
  <c r="T53" i="29"/>
  <c r="V53" i="29" s="1"/>
  <c r="T64" i="29"/>
  <c r="T66" i="29"/>
  <c r="V66" i="29" s="1"/>
  <c r="X92" i="29"/>
  <c r="O40" i="29"/>
  <c r="P89" i="29" s="1"/>
  <c r="T21" i="29"/>
  <c r="T26" i="29"/>
  <c r="W26" i="29" s="1"/>
  <c r="Q40" i="29"/>
  <c r="V40" i="29"/>
  <c r="S40" i="29"/>
  <c r="T54" i="29"/>
  <c r="R70" i="29"/>
  <c r="T65" i="29"/>
  <c r="R40" i="29"/>
  <c r="T37" i="29"/>
  <c r="S70" i="29"/>
  <c r="T25" i="29"/>
  <c r="W25" i="29" s="1"/>
  <c r="T30" i="29"/>
  <c r="W30" i="29" s="1"/>
  <c r="T35" i="29"/>
  <c r="X40" i="29"/>
  <c r="T63" i="29"/>
  <c r="P38" i="29"/>
  <c r="R57" i="29"/>
  <c r="T46" i="29"/>
  <c r="W46" i="29" s="1"/>
  <c r="J20" i="32" s="1"/>
  <c r="T47" i="29"/>
  <c r="W47" i="29" s="1"/>
  <c r="J21" i="32" s="1"/>
  <c r="T50" i="29"/>
  <c r="W50" i="29" s="1"/>
  <c r="T51" i="29"/>
  <c r="V51" i="29" s="1"/>
  <c r="T55" i="29"/>
  <c r="W55" i="29" s="1"/>
  <c r="O57" i="29"/>
  <c r="P90" i="29" s="1"/>
  <c r="T62" i="29"/>
  <c r="W62" i="29" s="1"/>
  <c r="X70" i="29"/>
  <c r="T68" i="29"/>
  <c r="V68" i="29" s="1"/>
  <c r="O70" i="29"/>
  <c r="X57" i="29"/>
  <c r="P70" i="29"/>
  <c r="P57" i="29"/>
  <c r="T44" i="29"/>
  <c r="T48" i="29"/>
  <c r="W48" i="29" s="1"/>
  <c r="J22" i="32" s="1"/>
  <c r="W21" i="29" l="1"/>
  <c r="O37" i="32"/>
  <c r="Q90" i="29"/>
  <c r="R90" i="29" s="1"/>
  <c r="S90" i="29" s="1"/>
  <c r="J33" i="32"/>
  <c r="J5" i="32"/>
  <c r="J34" i="32"/>
  <c r="J3" i="32"/>
  <c r="V32" i="29"/>
  <c r="W70" i="29"/>
  <c r="W35" i="29"/>
  <c r="U35" i="29"/>
  <c r="O107" i="29"/>
  <c r="W44" i="29"/>
  <c r="U44" i="29"/>
  <c r="H18" i="32" s="1"/>
  <c r="W29" i="29"/>
  <c r="J31" i="32" s="1"/>
  <c r="U29" i="29"/>
  <c r="H31" i="32" s="1"/>
  <c r="W28" i="29"/>
  <c r="U28" i="29"/>
  <c r="W27" i="29"/>
  <c r="J30" i="32" s="1"/>
  <c r="U27" i="29"/>
  <c r="H30" i="32" s="1"/>
  <c r="W80" i="29"/>
  <c r="T80" i="29"/>
  <c r="X85" i="29"/>
  <c r="X96" i="29" s="1"/>
  <c r="V57" i="29"/>
  <c r="V70" i="29"/>
  <c r="P40" i="29"/>
  <c r="Q89" i="29" s="1"/>
  <c r="R89" i="29" s="1"/>
  <c r="S89" i="29" s="1"/>
  <c r="T70" i="29"/>
  <c r="T57" i="29"/>
  <c r="T38" i="29"/>
  <c r="U38" i="29" s="1"/>
  <c r="U40" i="29" l="1"/>
  <c r="H29" i="32"/>
  <c r="J29" i="32"/>
  <c r="J18" i="32"/>
  <c r="L48" i="32"/>
  <c r="J17" i="32"/>
  <c r="H17" i="32"/>
  <c r="W40" i="29"/>
  <c r="W57" i="29"/>
  <c r="U57" i="29"/>
  <c r="U32" i="29"/>
  <c r="V85" i="29"/>
  <c r="V96" i="29" s="1"/>
  <c r="T40" i="29"/>
  <c r="P92" i="29"/>
  <c r="T22" i="29"/>
  <c r="T23" i="29"/>
  <c r="W23" i="29" s="1"/>
  <c r="W22" i="29" l="1"/>
  <c r="U85" i="29"/>
  <c r="U96" i="29" s="1"/>
  <c r="L45" i="32" s="1"/>
  <c r="J4" i="32"/>
  <c r="L46" i="32"/>
  <c r="J2" i="32"/>
  <c r="Q92" i="29"/>
  <c r="P107" i="29"/>
  <c r="Q107" i="29" l="1"/>
  <c r="T90" i="29"/>
  <c r="R92" i="29"/>
  <c r="R107" i="29" l="1"/>
  <c r="S92" i="29"/>
  <c r="T89" i="29"/>
  <c r="W89" i="29" s="1"/>
  <c r="T92" i="29" l="1"/>
  <c r="W90" i="29"/>
  <c r="W92" i="29" s="1"/>
  <c r="S107" i="29"/>
  <c r="T107" i="29" s="1"/>
  <c r="W85" i="25" l="1"/>
  <c r="V85" i="25"/>
  <c r="U85" i="25"/>
  <c r="W84" i="25"/>
  <c r="V84" i="25"/>
  <c r="U84" i="25"/>
  <c r="X73" i="25"/>
  <c r="V73" i="25"/>
  <c r="U73" i="25"/>
  <c r="X72" i="25"/>
  <c r="V72" i="25"/>
  <c r="U72" i="25"/>
  <c r="X71" i="25"/>
  <c r="V71" i="25"/>
  <c r="U71" i="25"/>
  <c r="X70" i="25"/>
  <c r="U70" i="25"/>
  <c r="X69" i="25"/>
  <c r="U69" i="25"/>
  <c r="X63" i="25"/>
  <c r="W63" i="25"/>
  <c r="U63" i="25"/>
  <c r="X62" i="25"/>
  <c r="W62" i="25"/>
  <c r="U62" i="25"/>
  <c r="X61" i="25"/>
  <c r="U61" i="25"/>
  <c r="X60" i="25"/>
  <c r="U60" i="25"/>
  <c r="X59" i="25"/>
  <c r="W59" i="25"/>
  <c r="U59" i="25"/>
  <c r="X58" i="25"/>
  <c r="U58" i="25"/>
  <c r="X57" i="25"/>
  <c r="U57" i="25"/>
  <c r="X13" i="25"/>
  <c r="V13" i="25"/>
  <c r="U13" i="25"/>
  <c r="X8" i="25"/>
  <c r="V8" i="25"/>
  <c r="U8" i="25"/>
  <c r="X7" i="25"/>
  <c r="V7" i="25"/>
  <c r="U7" i="25"/>
  <c r="X6" i="25"/>
  <c r="V6" i="25"/>
  <c r="U6" i="25"/>
  <c r="X5" i="25"/>
  <c r="V5" i="25"/>
  <c r="U5" i="25"/>
  <c r="X4" i="25"/>
  <c r="X15" i="25" s="1"/>
  <c r="V4" i="25"/>
  <c r="U4" i="25"/>
  <c r="X51" i="25"/>
  <c r="V51" i="25"/>
  <c r="U51" i="25"/>
  <c r="X50" i="25"/>
  <c r="V50" i="25"/>
  <c r="U50" i="25"/>
  <c r="X49" i="25"/>
  <c r="V49" i="25"/>
  <c r="U49" i="25"/>
  <c r="X48" i="25"/>
  <c r="U48" i="25"/>
  <c r="X47" i="25"/>
  <c r="V47" i="25"/>
  <c r="U47" i="25"/>
  <c r="X46" i="25"/>
  <c r="V46" i="25"/>
  <c r="U46" i="25"/>
  <c r="X45" i="25"/>
  <c r="V45" i="25"/>
  <c r="U45" i="25"/>
  <c r="X44" i="25"/>
  <c r="V44" i="25"/>
  <c r="U44" i="25"/>
  <c r="X43" i="25"/>
  <c r="V43" i="25"/>
  <c r="U43" i="25"/>
  <c r="X42" i="25"/>
  <c r="V42" i="25"/>
  <c r="U42" i="25"/>
  <c r="X41" i="25"/>
  <c r="V41" i="25"/>
  <c r="U41" i="25"/>
  <c r="X35" i="25"/>
  <c r="V35" i="25"/>
  <c r="X34" i="25"/>
  <c r="V34" i="25"/>
  <c r="U34" i="25"/>
  <c r="X33" i="25"/>
  <c r="V33" i="25"/>
  <c r="U33" i="25"/>
  <c r="X32" i="25"/>
  <c r="V32" i="25"/>
  <c r="U32" i="25"/>
  <c r="X31" i="25"/>
  <c r="V31" i="25"/>
  <c r="U31" i="25"/>
  <c r="X30" i="25"/>
  <c r="V30" i="25"/>
  <c r="U30" i="25"/>
  <c r="X22" i="25"/>
  <c r="V22" i="25"/>
  <c r="W21" i="25"/>
  <c r="V21" i="25"/>
  <c r="U21" i="25"/>
  <c r="X20" i="25"/>
  <c r="V20" i="25"/>
  <c r="U20" i="25"/>
  <c r="W86" i="22"/>
  <c r="V86" i="22"/>
  <c r="U86" i="22"/>
  <c r="W85" i="22"/>
  <c r="V85" i="22"/>
  <c r="U85" i="22"/>
  <c r="X74" i="22"/>
  <c r="V74" i="22"/>
  <c r="U74" i="22"/>
  <c r="X73" i="22"/>
  <c r="V73" i="22"/>
  <c r="U73" i="22"/>
  <c r="X72" i="22"/>
  <c r="V72" i="22"/>
  <c r="U72" i="22"/>
  <c r="X71" i="22"/>
  <c r="U71" i="22"/>
  <c r="X70" i="22"/>
  <c r="U70" i="22"/>
  <c r="X64" i="22"/>
  <c r="W64" i="22"/>
  <c r="U64" i="22"/>
  <c r="X63" i="22"/>
  <c r="W63" i="22"/>
  <c r="U63" i="22"/>
  <c r="X62" i="22"/>
  <c r="U62" i="22"/>
  <c r="X61" i="22"/>
  <c r="U61" i="22"/>
  <c r="X60" i="22"/>
  <c r="W60" i="22"/>
  <c r="U60" i="22"/>
  <c r="X59" i="22"/>
  <c r="U59" i="22"/>
  <c r="X58" i="22"/>
  <c r="U58" i="22"/>
  <c r="X13" i="22"/>
  <c r="X11" i="22" s="1"/>
  <c r="V13" i="22"/>
  <c r="V11" i="22" s="1"/>
  <c r="U13" i="22"/>
  <c r="U11" i="22" s="1"/>
  <c r="X12" i="22"/>
  <c r="V12" i="22"/>
  <c r="U12" i="22"/>
  <c r="X52" i="22"/>
  <c r="V52" i="22"/>
  <c r="U52" i="22"/>
  <c r="X51" i="22"/>
  <c r="V51" i="22"/>
  <c r="I23" i="32" s="1"/>
  <c r="U51" i="22"/>
  <c r="X50" i="22"/>
  <c r="U50" i="22"/>
  <c r="X49" i="22"/>
  <c r="V49" i="22"/>
  <c r="U49" i="22"/>
  <c r="X48" i="22"/>
  <c r="U48" i="22"/>
  <c r="X47" i="22"/>
  <c r="V47" i="22"/>
  <c r="U47" i="22"/>
  <c r="X46" i="22"/>
  <c r="V46" i="22"/>
  <c r="U46" i="22"/>
  <c r="X45" i="22"/>
  <c r="V45" i="22"/>
  <c r="U45" i="22"/>
  <c r="X44" i="22"/>
  <c r="V44" i="22"/>
  <c r="U44" i="22"/>
  <c r="X43" i="22"/>
  <c r="V43" i="22"/>
  <c r="U43" i="22"/>
  <c r="X42" i="22"/>
  <c r="V42" i="22"/>
  <c r="U42" i="22"/>
  <c r="X41" i="22"/>
  <c r="V41" i="22"/>
  <c r="U41" i="22"/>
  <c r="X35" i="22"/>
  <c r="V35" i="22"/>
  <c r="X34" i="22"/>
  <c r="V34" i="22"/>
  <c r="X33" i="22"/>
  <c r="V33" i="22"/>
  <c r="U33" i="22"/>
  <c r="X32" i="22"/>
  <c r="V32" i="22"/>
  <c r="U32" i="22"/>
  <c r="X31" i="22"/>
  <c r="W31" i="22"/>
  <c r="V31" i="22"/>
  <c r="U31" i="22"/>
  <c r="X22" i="22"/>
  <c r="V22" i="22"/>
  <c r="W21" i="22"/>
  <c r="V21" i="22"/>
  <c r="U21" i="22"/>
  <c r="X20" i="22"/>
  <c r="W20" i="22"/>
  <c r="V20" i="22"/>
  <c r="U20" i="22"/>
  <c r="X71" i="18"/>
  <c r="U71" i="18"/>
  <c r="X88" i="18"/>
  <c r="V88" i="18"/>
  <c r="U88" i="18"/>
  <c r="V87" i="18"/>
  <c r="U87" i="18"/>
  <c r="X76" i="18"/>
  <c r="V76" i="18"/>
  <c r="U76" i="18"/>
  <c r="X75" i="18"/>
  <c r="V75" i="18"/>
  <c r="U75" i="18"/>
  <c r="X73" i="18"/>
  <c r="V73" i="18"/>
  <c r="U73" i="18"/>
  <c r="X72" i="18"/>
  <c r="U72" i="18"/>
  <c r="X65" i="18"/>
  <c r="W65" i="18"/>
  <c r="U65" i="18"/>
  <c r="X64" i="18"/>
  <c r="W64" i="18"/>
  <c r="U64" i="18"/>
  <c r="X52" i="18"/>
  <c r="V52" i="18"/>
  <c r="U52" i="18"/>
  <c r="X51" i="18"/>
  <c r="U51" i="18"/>
  <c r="X50" i="18"/>
  <c r="U50" i="18"/>
  <c r="X49" i="18"/>
  <c r="V49" i="18"/>
  <c r="U49" i="18"/>
  <c r="X48" i="18"/>
  <c r="U48" i="18"/>
  <c r="X47" i="18"/>
  <c r="V47" i="18"/>
  <c r="U47" i="18"/>
  <c r="X46" i="18"/>
  <c r="V46" i="18"/>
  <c r="U46" i="18"/>
  <c r="X45" i="18"/>
  <c r="V45" i="18"/>
  <c r="U45" i="18"/>
  <c r="X44" i="18"/>
  <c r="V44" i="18"/>
  <c r="U44" i="18"/>
  <c r="X43" i="18"/>
  <c r="V43" i="18"/>
  <c r="U43" i="18"/>
  <c r="X42" i="18"/>
  <c r="V42" i="18"/>
  <c r="U42" i="18"/>
  <c r="X41" i="18"/>
  <c r="V41" i="18"/>
  <c r="U41" i="18"/>
  <c r="W19" i="18"/>
  <c r="X19" i="18"/>
  <c r="W20" i="18"/>
  <c r="X20" i="18"/>
  <c r="W21" i="18"/>
  <c r="X21" i="18"/>
  <c r="X30" i="18"/>
  <c r="X31" i="18"/>
  <c r="X32" i="18"/>
  <c r="X33" i="18"/>
  <c r="X34" i="18"/>
  <c r="X35" i="18"/>
  <c r="V19" i="18"/>
  <c r="I15" i="32" s="1"/>
  <c r="V20" i="18"/>
  <c r="V21" i="18"/>
  <c r="V30" i="18"/>
  <c r="V31" i="18"/>
  <c r="V32" i="18"/>
  <c r="V33" i="18"/>
  <c r="V34" i="18"/>
  <c r="V35" i="18"/>
  <c r="U21" i="18"/>
  <c r="U30" i="18"/>
  <c r="U31" i="18"/>
  <c r="U32" i="18"/>
  <c r="U33" i="18"/>
  <c r="U34" i="18"/>
  <c r="U19" i="18"/>
  <c r="L35" i="25"/>
  <c r="S35" i="25" s="1"/>
  <c r="K35" i="25"/>
  <c r="R35" i="25" s="1"/>
  <c r="J35" i="25"/>
  <c r="Q35" i="25" s="1"/>
  <c r="I35" i="25"/>
  <c r="P35" i="25" s="1"/>
  <c r="H35" i="25"/>
  <c r="O35" i="25" s="1"/>
  <c r="S97" i="25"/>
  <c r="S99" i="25" s="1"/>
  <c r="R97" i="25"/>
  <c r="R99" i="25" s="1"/>
  <c r="Q97" i="25"/>
  <c r="Q99" i="25" s="1"/>
  <c r="P97" i="25"/>
  <c r="P99" i="25" s="1"/>
  <c r="O97" i="25"/>
  <c r="S96" i="25"/>
  <c r="R96" i="25"/>
  <c r="Q96" i="25"/>
  <c r="P96" i="25"/>
  <c r="O96" i="25"/>
  <c r="O87" i="25"/>
  <c r="S73" i="25"/>
  <c r="R73" i="25"/>
  <c r="Q73" i="25"/>
  <c r="P73" i="25"/>
  <c r="O73" i="25"/>
  <c r="M73" i="25"/>
  <c r="S72" i="25"/>
  <c r="R72" i="25"/>
  <c r="Q72" i="25"/>
  <c r="P72" i="25"/>
  <c r="O72" i="25"/>
  <c r="M72" i="25"/>
  <c r="S71" i="25"/>
  <c r="R71" i="25"/>
  <c r="Q71" i="25"/>
  <c r="P71" i="25"/>
  <c r="O71" i="25"/>
  <c r="M71" i="25"/>
  <c r="S70" i="25"/>
  <c r="R70" i="25"/>
  <c r="Q70" i="25"/>
  <c r="P70" i="25"/>
  <c r="O70" i="25"/>
  <c r="M70" i="25"/>
  <c r="S69" i="25"/>
  <c r="R69" i="25"/>
  <c r="Q69" i="25"/>
  <c r="P69" i="25"/>
  <c r="O69" i="25"/>
  <c r="M69" i="25"/>
  <c r="F68" i="25"/>
  <c r="E68" i="25"/>
  <c r="S63" i="25"/>
  <c r="R63" i="25"/>
  <c r="Q63" i="25"/>
  <c r="P63" i="25"/>
  <c r="O63" i="25"/>
  <c r="M63" i="25"/>
  <c r="S62" i="25"/>
  <c r="R62" i="25"/>
  <c r="Q62" i="25"/>
  <c r="P62" i="25"/>
  <c r="O62" i="25"/>
  <c r="M62" i="25"/>
  <c r="S61" i="25"/>
  <c r="R61" i="25"/>
  <c r="Q61" i="25"/>
  <c r="P61" i="25"/>
  <c r="O61" i="25"/>
  <c r="M61" i="25"/>
  <c r="S60" i="25"/>
  <c r="R60" i="25"/>
  <c r="Q60" i="25"/>
  <c r="P60" i="25"/>
  <c r="O60" i="25"/>
  <c r="M60" i="25"/>
  <c r="S59" i="25"/>
  <c r="R59" i="25"/>
  <c r="Q59" i="25"/>
  <c r="P59" i="25"/>
  <c r="O59" i="25"/>
  <c r="M59" i="25"/>
  <c r="S58" i="25"/>
  <c r="R58" i="25"/>
  <c r="Q58" i="25"/>
  <c r="P58" i="25"/>
  <c r="O58" i="25"/>
  <c r="M58" i="25"/>
  <c r="S57" i="25"/>
  <c r="R57" i="25"/>
  <c r="Q57" i="25"/>
  <c r="P57" i="25"/>
  <c r="O57" i="25"/>
  <c r="M57" i="25"/>
  <c r="F56" i="25"/>
  <c r="E56" i="25"/>
  <c r="S13" i="25"/>
  <c r="R13" i="25"/>
  <c r="Q13" i="25"/>
  <c r="P13" i="25"/>
  <c r="O13" i="25"/>
  <c r="M13" i="25"/>
  <c r="S8" i="25"/>
  <c r="R8" i="25"/>
  <c r="Q8" i="25"/>
  <c r="P8" i="25"/>
  <c r="O8" i="25"/>
  <c r="M8" i="25"/>
  <c r="S7" i="25"/>
  <c r="R7" i="25"/>
  <c r="Q7" i="25"/>
  <c r="P7" i="25"/>
  <c r="O7" i="25"/>
  <c r="M7" i="25"/>
  <c r="S4" i="25"/>
  <c r="R4" i="25"/>
  <c r="Q4" i="25"/>
  <c r="P4" i="25"/>
  <c r="O4" i="25"/>
  <c r="M4" i="25"/>
  <c r="F2" i="25"/>
  <c r="E2" i="25"/>
  <c r="S51" i="25"/>
  <c r="R51" i="25"/>
  <c r="Q51" i="25"/>
  <c r="P51" i="25"/>
  <c r="O51" i="25"/>
  <c r="M51" i="25"/>
  <c r="S50" i="25"/>
  <c r="R50" i="25"/>
  <c r="Q50" i="25"/>
  <c r="P50" i="25"/>
  <c r="O50" i="25"/>
  <c r="M50" i="25"/>
  <c r="S49" i="25"/>
  <c r="R49" i="25"/>
  <c r="Q49" i="25"/>
  <c r="P49" i="25"/>
  <c r="O49" i="25"/>
  <c r="M49" i="25"/>
  <c r="S48" i="25"/>
  <c r="R48" i="25"/>
  <c r="Q48" i="25"/>
  <c r="P48" i="25"/>
  <c r="O48" i="25"/>
  <c r="M48" i="25"/>
  <c r="S47" i="25"/>
  <c r="R47" i="25"/>
  <c r="Q47" i="25"/>
  <c r="P47" i="25"/>
  <c r="O47" i="25"/>
  <c r="M47" i="25"/>
  <c r="S46" i="25"/>
  <c r="R46" i="25"/>
  <c r="Q46" i="25"/>
  <c r="P46" i="25"/>
  <c r="O46" i="25"/>
  <c r="M46" i="25"/>
  <c r="S45" i="25"/>
  <c r="R45" i="25"/>
  <c r="Q45" i="25"/>
  <c r="P45" i="25"/>
  <c r="O45" i="25"/>
  <c r="M45" i="25"/>
  <c r="S44" i="25"/>
  <c r="R44" i="25"/>
  <c r="Q44" i="25"/>
  <c r="P44" i="25"/>
  <c r="O44" i="25"/>
  <c r="M44" i="25"/>
  <c r="S43" i="25"/>
  <c r="R43" i="25"/>
  <c r="Q43" i="25"/>
  <c r="P43" i="25"/>
  <c r="O43" i="25"/>
  <c r="M43" i="25"/>
  <c r="S42" i="25"/>
  <c r="R42" i="25"/>
  <c r="Q42" i="25"/>
  <c r="P42" i="25"/>
  <c r="O42" i="25"/>
  <c r="M42" i="25"/>
  <c r="S41" i="25"/>
  <c r="R41" i="25"/>
  <c r="Q41" i="25"/>
  <c r="P41" i="25"/>
  <c r="O41" i="25"/>
  <c r="M41" i="25"/>
  <c r="F40" i="25"/>
  <c r="E40" i="25"/>
  <c r="S34" i="25"/>
  <c r="R34" i="25"/>
  <c r="Q34" i="25"/>
  <c r="P34" i="25"/>
  <c r="O34" i="25"/>
  <c r="M34" i="25"/>
  <c r="S33" i="25"/>
  <c r="R33" i="25"/>
  <c r="Q33" i="25"/>
  <c r="P33" i="25"/>
  <c r="O33" i="25"/>
  <c r="M33" i="25"/>
  <c r="S32" i="25"/>
  <c r="R32" i="25"/>
  <c r="Q32" i="25"/>
  <c r="P32" i="25"/>
  <c r="O32" i="25"/>
  <c r="M32" i="25"/>
  <c r="S31" i="25"/>
  <c r="R31" i="25"/>
  <c r="Q31" i="25"/>
  <c r="P31" i="25"/>
  <c r="O31" i="25"/>
  <c r="M31" i="25"/>
  <c r="S30" i="25"/>
  <c r="R30" i="25"/>
  <c r="Q30" i="25"/>
  <c r="P30" i="25"/>
  <c r="O30" i="25"/>
  <c r="M30" i="25"/>
  <c r="S22" i="25"/>
  <c r="R22" i="25"/>
  <c r="Q22" i="25"/>
  <c r="P22" i="25"/>
  <c r="O22" i="25"/>
  <c r="M22" i="25"/>
  <c r="S21" i="25"/>
  <c r="R21" i="25"/>
  <c r="Q21" i="25"/>
  <c r="P21" i="25"/>
  <c r="O21" i="25"/>
  <c r="M21" i="25"/>
  <c r="S20" i="25"/>
  <c r="R20" i="25"/>
  <c r="Q20" i="25"/>
  <c r="P20" i="25"/>
  <c r="O20" i="25"/>
  <c r="M20" i="25"/>
  <c r="S98" i="22"/>
  <c r="S100" i="22" s="1"/>
  <c r="R98" i="22"/>
  <c r="R100" i="22" s="1"/>
  <c r="Q98" i="22"/>
  <c r="Q100" i="22" s="1"/>
  <c r="P98" i="22"/>
  <c r="P100" i="22" s="1"/>
  <c r="O98" i="22"/>
  <c r="S97" i="22"/>
  <c r="R97" i="22"/>
  <c r="Q97" i="22"/>
  <c r="P97" i="22"/>
  <c r="O97" i="22"/>
  <c r="O88" i="22"/>
  <c r="S74" i="22"/>
  <c r="R74" i="22"/>
  <c r="Q74" i="22"/>
  <c r="P74" i="22"/>
  <c r="O74" i="22"/>
  <c r="M74" i="22"/>
  <c r="S73" i="22"/>
  <c r="R73" i="22"/>
  <c r="Q73" i="22"/>
  <c r="P73" i="22"/>
  <c r="O73" i="22"/>
  <c r="M73" i="22"/>
  <c r="S72" i="22"/>
  <c r="R72" i="22"/>
  <c r="Q72" i="22"/>
  <c r="P72" i="22"/>
  <c r="O72" i="22"/>
  <c r="M72" i="22"/>
  <c r="S71" i="22"/>
  <c r="R71" i="22"/>
  <c r="Q71" i="22"/>
  <c r="P71" i="22"/>
  <c r="O71" i="22"/>
  <c r="M71" i="22"/>
  <c r="S70" i="22"/>
  <c r="R70" i="22"/>
  <c r="Q70" i="22"/>
  <c r="P70" i="22"/>
  <c r="O70" i="22"/>
  <c r="M70" i="22"/>
  <c r="F69" i="22"/>
  <c r="E69" i="22"/>
  <c r="S64" i="22"/>
  <c r="R64" i="22"/>
  <c r="Q64" i="22"/>
  <c r="P64" i="22"/>
  <c r="O64" i="22"/>
  <c r="M64" i="22"/>
  <c r="S63" i="22"/>
  <c r="R63" i="22"/>
  <c r="Q63" i="22"/>
  <c r="P63" i="22"/>
  <c r="O63" i="22"/>
  <c r="M63" i="22"/>
  <c r="S62" i="22"/>
  <c r="R62" i="22"/>
  <c r="Q62" i="22"/>
  <c r="P62" i="22"/>
  <c r="O62" i="22"/>
  <c r="M62" i="22"/>
  <c r="S61" i="22"/>
  <c r="R61" i="22"/>
  <c r="Q61" i="22"/>
  <c r="P61" i="22"/>
  <c r="O61" i="22"/>
  <c r="M61" i="22"/>
  <c r="S60" i="22"/>
  <c r="R60" i="22"/>
  <c r="Q60" i="22"/>
  <c r="P60" i="22"/>
  <c r="O60" i="22"/>
  <c r="M60" i="22"/>
  <c r="S59" i="22"/>
  <c r="R59" i="22"/>
  <c r="Q59" i="22"/>
  <c r="P59" i="22"/>
  <c r="O59" i="22"/>
  <c r="M59" i="22"/>
  <c r="S58" i="22"/>
  <c r="R58" i="22"/>
  <c r="Q58" i="22"/>
  <c r="P58" i="22"/>
  <c r="O58" i="22"/>
  <c r="M58" i="22"/>
  <c r="F57" i="22"/>
  <c r="E57" i="22"/>
  <c r="S13" i="22"/>
  <c r="R13" i="22"/>
  <c r="Q13" i="22"/>
  <c r="P13" i="22"/>
  <c r="O13" i="22"/>
  <c r="M13" i="22"/>
  <c r="S12" i="22"/>
  <c r="R12" i="22"/>
  <c r="Q12" i="22"/>
  <c r="P12" i="22"/>
  <c r="O12" i="22"/>
  <c r="M12" i="22"/>
  <c r="F2" i="22"/>
  <c r="E2" i="22"/>
  <c r="S52" i="22"/>
  <c r="R52" i="22"/>
  <c r="Q52" i="22"/>
  <c r="P52" i="22"/>
  <c r="O52" i="22"/>
  <c r="M52" i="22"/>
  <c r="S51" i="22"/>
  <c r="R51" i="22"/>
  <c r="Q51" i="22"/>
  <c r="P51" i="22"/>
  <c r="O51" i="22"/>
  <c r="M51" i="22"/>
  <c r="S50" i="22"/>
  <c r="R50" i="22"/>
  <c r="Q50" i="22"/>
  <c r="P50" i="22"/>
  <c r="O50" i="22"/>
  <c r="M50" i="22"/>
  <c r="S49" i="22"/>
  <c r="R49" i="22"/>
  <c r="Q49" i="22"/>
  <c r="P49" i="22"/>
  <c r="O49" i="22"/>
  <c r="M49" i="22"/>
  <c r="S48" i="22"/>
  <c r="R48" i="22"/>
  <c r="Q48" i="22"/>
  <c r="P48" i="22"/>
  <c r="O48" i="22"/>
  <c r="M48" i="22"/>
  <c r="S47" i="22"/>
  <c r="R47" i="22"/>
  <c r="Q47" i="22"/>
  <c r="P47" i="22"/>
  <c r="O47" i="22"/>
  <c r="M47" i="22"/>
  <c r="S46" i="22"/>
  <c r="R46" i="22"/>
  <c r="Q46" i="22"/>
  <c r="P46" i="22"/>
  <c r="O46" i="22"/>
  <c r="M46" i="22"/>
  <c r="S45" i="22"/>
  <c r="R45" i="22"/>
  <c r="Q45" i="22"/>
  <c r="P45" i="22"/>
  <c r="O45" i="22"/>
  <c r="M45" i="22"/>
  <c r="S44" i="22"/>
  <c r="R44" i="22"/>
  <c r="Q44" i="22"/>
  <c r="P44" i="22"/>
  <c r="O44" i="22"/>
  <c r="M44" i="22"/>
  <c r="S43" i="22"/>
  <c r="R43" i="22"/>
  <c r="Q43" i="22"/>
  <c r="P43" i="22"/>
  <c r="O43" i="22"/>
  <c r="M43" i="22"/>
  <c r="S42" i="22"/>
  <c r="R42" i="22"/>
  <c r="Q42" i="22"/>
  <c r="P42" i="22"/>
  <c r="O42" i="22"/>
  <c r="M42" i="22"/>
  <c r="S41" i="22"/>
  <c r="R41" i="22"/>
  <c r="Q41" i="22"/>
  <c r="P41" i="22"/>
  <c r="O41" i="22"/>
  <c r="M41" i="22"/>
  <c r="F40" i="22"/>
  <c r="E40" i="22"/>
  <c r="L35" i="22"/>
  <c r="S35" i="22" s="1"/>
  <c r="K35" i="22"/>
  <c r="R35" i="22" s="1"/>
  <c r="J35" i="22"/>
  <c r="Q35" i="22" s="1"/>
  <c r="I35" i="22"/>
  <c r="P35" i="22" s="1"/>
  <c r="H35" i="22"/>
  <c r="S34" i="22"/>
  <c r="R34" i="22"/>
  <c r="Q34" i="22"/>
  <c r="P34" i="22"/>
  <c r="O34" i="22"/>
  <c r="M34" i="22"/>
  <c r="S33" i="22"/>
  <c r="R33" i="22"/>
  <c r="Q33" i="22"/>
  <c r="P33" i="22"/>
  <c r="O33" i="22"/>
  <c r="M33" i="22"/>
  <c r="S32" i="22"/>
  <c r="R32" i="22"/>
  <c r="Q32" i="22"/>
  <c r="P32" i="22"/>
  <c r="O32" i="22"/>
  <c r="M32" i="22"/>
  <c r="S31" i="22"/>
  <c r="R31" i="22"/>
  <c r="Q31" i="22"/>
  <c r="P31" i="22"/>
  <c r="O31" i="22"/>
  <c r="M31" i="22"/>
  <c r="S30" i="22"/>
  <c r="R30" i="22"/>
  <c r="Q30" i="22"/>
  <c r="P30" i="22"/>
  <c r="O30" i="22"/>
  <c r="M30" i="22"/>
  <c r="S22" i="22"/>
  <c r="R22" i="22"/>
  <c r="Q22" i="22"/>
  <c r="P22" i="22"/>
  <c r="O22" i="22"/>
  <c r="M22" i="22"/>
  <c r="S21" i="22"/>
  <c r="R21" i="22"/>
  <c r="Q21" i="22"/>
  <c r="P21" i="22"/>
  <c r="O21" i="22"/>
  <c r="M21" i="22"/>
  <c r="S20" i="22"/>
  <c r="R20" i="22"/>
  <c r="Q20" i="22"/>
  <c r="P20" i="22"/>
  <c r="O20" i="22"/>
  <c r="M20" i="22"/>
  <c r="M33" i="28"/>
  <c r="M22" i="28"/>
  <c r="S99" i="28"/>
  <c r="S101" i="28" s="1"/>
  <c r="R99" i="28"/>
  <c r="R101" i="28" s="1"/>
  <c r="Q99" i="28"/>
  <c r="Q101" i="28" s="1"/>
  <c r="P99" i="28"/>
  <c r="P101" i="28" s="1"/>
  <c r="O99" i="28"/>
  <c r="S98" i="28"/>
  <c r="R98" i="28"/>
  <c r="Q98" i="28"/>
  <c r="P98" i="28"/>
  <c r="O98" i="28"/>
  <c r="O89" i="28"/>
  <c r="S75" i="28"/>
  <c r="R75" i="28"/>
  <c r="Q75" i="28"/>
  <c r="P75" i="28"/>
  <c r="O75" i="28"/>
  <c r="M75" i="28"/>
  <c r="S74" i="28"/>
  <c r="R74" i="28"/>
  <c r="Q74" i="28"/>
  <c r="P74" i="28"/>
  <c r="O74" i="28"/>
  <c r="M74" i="28"/>
  <c r="S73" i="28"/>
  <c r="R73" i="28"/>
  <c r="Q73" i="28"/>
  <c r="P73" i="28"/>
  <c r="O73" i="28"/>
  <c r="M73" i="28"/>
  <c r="S72" i="28"/>
  <c r="R72" i="28"/>
  <c r="Q72" i="28"/>
  <c r="P72" i="28"/>
  <c r="O72" i="28"/>
  <c r="M72" i="28"/>
  <c r="S71" i="28"/>
  <c r="R71" i="28"/>
  <c r="Q71" i="28"/>
  <c r="P71" i="28"/>
  <c r="O71" i="28"/>
  <c r="M71" i="28"/>
  <c r="F70" i="28"/>
  <c r="E70" i="28"/>
  <c r="S65" i="28"/>
  <c r="R65" i="28"/>
  <c r="Q65" i="28"/>
  <c r="P65" i="28"/>
  <c r="O65" i="28"/>
  <c r="M65" i="28"/>
  <c r="S64" i="28"/>
  <c r="R64" i="28"/>
  <c r="Q64" i="28"/>
  <c r="P64" i="28"/>
  <c r="O64" i="28"/>
  <c r="M64" i="28"/>
  <c r="S63" i="28"/>
  <c r="R63" i="28"/>
  <c r="Q63" i="28"/>
  <c r="P63" i="28"/>
  <c r="O63" i="28"/>
  <c r="M63" i="28"/>
  <c r="S62" i="28"/>
  <c r="R62" i="28"/>
  <c r="Q62" i="28"/>
  <c r="P62" i="28"/>
  <c r="O62" i="28"/>
  <c r="M62" i="28"/>
  <c r="S61" i="28"/>
  <c r="R61" i="28"/>
  <c r="Q61" i="28"/>
  <c r="P61" i="28"/>
  <c r="O61" i="28"/>
  <c r="M61" i="28"/>
  <c r="S60" i="28"/>
  <c r="R60" i="28"/>
  <c r="Q60" i="28"/>
  <c r="Q67" i="28" s="1"/>
  <c r="P60" i="28"/>
  <c r="O60" i="28"/>
  <c r="M60" i="28"/>
  <c r="F58" i="28"/>
  <c r="E58" i="28"/>
  <c r="S15" i="28"/>
  <c r="R15" i="28"/>
  <c r="Q15" i="28"/>
  <c r="P15" i="28"/>
  <c r="O15" i="28"/>
  <c r="M15" i="28"/>
  <c r="S14" i="28"/>
  <c r="R14" i="28"/>
  <c r="Q14" i="28"/>
  <c r="P14" i="28"/>
  <c r="O14" i="28"/>
  <c r="M14" i="28"/>
  <c r="F4" i="28"/>
  <c r="E4" i="28"/>
  <c r="S53" i="28"/>
  <c r="R53" i="28"/>
  <c r="Q53" i="28"/>
  <c r="P53" i="28"/>
  <c r="O53" i="28"/>
  <c r="M53" i="28"/>
  <c r="S52" i="28"/>
  <c r="R52" i="28"/>
  <c r="Q52" i="28"/>
  <c r="P52" i="28"/>
  <c r="O52" i="28"/>
  <c r="M52" i="28"/>
  <c r="S51" i="28"/>
  <c r="R51" i="28"/>
  <c r="Q51" i="28"/>
  <c r="P51" i="28"/>
  <c r="O51" i="28"/>
  <c r="M51" i="28"/>
  <c r="S50" i="28"/>
  <c r="R50" i="28"/>
  <c r="Q50" i="28"/>
  <c r="P50" i="28"/>
  <c r="O50" i="28"/>
  <c r="M50" i="28"/>
  <c r="S49" i="28"/>
  <c r="R49" i="28"/>
  <c r="Q49" i="28"/>
  <c r="P49" i="28"/>
  <c r="O49" i="28"/>
  <c r="M49" i="28"/>
  <c r="S48" i="28"/>
  <c r="R48" i="28"/>
  <c r="Q48" i="28"/>
  <c r="P48" i="28"/>
  <c r="O48" i="28"/>
  <c r="M48" i="28"/>
  <c r="S47" i="28"/>
  <c r="R47" i="28"/>
  <c r="Q47" i="28"/>
  <c r="P47" i="28"/>
  <c r="O47" i="28"/>
  <c r="M47" i="28"/>
  <c r="S46" i="28"/>
  <c r="R46" i="28"/>
  <c r="Q46" i="28"/>
  <c r="P46" i="28"/>
  <c r="O46" i="28"/>
  <c r="M46" i="28"/>
  <c r="S45" i="28"/>
  <c r="R45" i="28"/>
  <c r="Q45" i="28"/>
  <c r="P45" i="28"/>
  <c r="O45" i="28"/>
  <c r="M45" i="28"/>
  <c r="S44" i="28"/>
  <c r="R44" i="28"/>
  <c r="Q44" i="28"/>
  <c r="P44" i="28"/>
  <c r="O44" i="28"/>
  <c r="M44" i="28"/>
  <c r="S43" i="28"/>
  <c r="R43" i="28"/>
  <c r="Q43" i="28"/>
  <c r="P43" i="28"/>
  <c r="O43" i="28"/>
  <c r="M43" i="28"/>
  <c r="S42" i="28"/>
  <c r="R42" i="28"/>
  <c r="Q42" i="28"/>
  <c r="P42" i="28"/>
  <c r="O42" i="28"/>
  <c r="M42" i="28"/>
  <c r="F41" i="28"/>
  <c r="E41" i="28"/>
  <c r="L36" i="28"/>
  <c r="S36" i="28" s="1"/>
  <c r="K36" i="28"/>
  <c r="R36" i="28" s="1"/>
  <c r="J36" i="28"/>
  <c r="Q36" i="28" s="1"/>
  <c r="I36" i="28"/>
  <c r="P36" i="28" s="1"/>
  <c r="H36" i="28"/>
  <c r="S35" i="28"/>
  <c r="R35" i="28"/>
  <c r="Q35" i="28"/>
  <c r="P35" i="28"/>
  <c r="O35" i="28"/>
  <c r="M35" i="28"/>
  <c r="S34" i="28"/>
  <c r="R34" i="28"/>
  <c r="Q34" i="28"/>
  <c r="P34" i="28"/>
  <c r="O34" i="28"/>
  <c r="M34" i="28"/>
  <c r="S33" i="28"/>
  <c r="R33" i="28"/>
  <c r="Q33" i="28"/>
  <c r="P33" i="28"/>
  <c r="O33" i="28"/>
  <c r="S32" i="28"/>
  <c r="R32" i="28"/>
  <c r="Q32" i="28"/>
  <c r="P32" i="28"/>
  <c r="O32" i="28"/>
  <c r="M32" i="28"/>
  <c r="S31" i="28"/>
  <c r="R31" i="28"/>
  <c r="Q31" i="28"/>
  <c r="P31" i="28"/>
  <c r="O31" i="28"/>
  <c r="M31" i="28"/>
  <c r="S22" i="28"/>
  <c r="R22" i="28"/>
  <c r="Q22" i="28"/>
  <c r="P22" i="28"/>
  <c r="O22" i="28"/>
  <c r="S21" i="28"/>
  <c r="R21" i="28"/>
  <c r="Q21" i="28"/>
  <c r="P21" i="28"/>
  <c r="O21" i="28"/>
  <c r="M21" i="28"/>
  <c r="S20" i="28"/>
  <c r="R20" i="28"/>
  <c r="Q20" i="28"/>
  <c r="P20" i="28"/>
  <c r="O20" i="28"/>
  <c r="M20" i="28"/>
  <c r="H23" i="32" l="1"/>
  <c r="R67" i="28"/>
  <c r="S15" i="25"/>
  <c r="U15" i="25"/>
  <c r="V15" i="25"/>
  <c r="H28" i="32"/>
  <c r="K23" i="32"/>
  <c r="K28" i="32"/>
  <c r="K27" i="32"/>
  <c r="H32" i="32"/>
  <c r="J32" i="32"/>
  <c r="K32" i="32"/>
  <c r="K8" i="32"/>
  <c r="K9" i="32"/>
  <c r="H8" i="32"/>
  <c r="I9" i="32"/>
  <c r="H9" i="32"/>
  <c r="I8" i="32"/>
  <c r="O67" i="28"/>
  <c r="S67" i="28"/>
  <c r="P67" i="28"/>
  <c r="K16" i="32"/>
  <c r="H24" i="32"/>
  <c r="H16" i="32"/>
  <c r="I24" i="32"/>
  <c r="H38" i="32"/>
  <c r="K24" i="32"/>
  <c r="I38" i="32"/>
  <c r="W88" i="22"/>
  <c r="X8" i="22"/>
  <c r="X7" i="22"/>
  <c r="K6" i="32" s="1"/>
  <c r="X10" i="22"/>
  <c r="X6" i="22"/>
  <c r="X5" i="22"/>
  <c r="X4" i="22"/>
  <c r="X9" i="22"/>
  <c r="U7" i="22"/>
  <c r="H6" i="32" s="1"/>
  <c r="U10" i="22"/>
  <c r="U6" i="22"/>
  <c r="U5" i="22"/>
  <c r="U4" i="22"/>
  <c r="U9" i="22"/>
  <c r="U8" i="22"/>
  <c r="V10" i="22"/>
  <c r="V6" i="22"/>
  <c r="V5" i="22"/>
  <c r="V9" i="22"/>
  <c r="V8" i="22"/>
  <c r="V7" i="22"/>
  <c r="I6" i="32" s="1"/>
  <c r="V4" i="22"/>
  <c r="P37" i="22"/>
  <c r="X53" i="25"/>
  <c r="W87" i="25"/>
  <c r="V87" i="25"/>
  <c r="V88" i="22"/>
  <c r="U87" i="25"/>
  <c r="T30" i="22"/>
  <c r="W30" i="22" s="1"/>
  <c r="P76" i="22"/>
  <c r="T97" i="25"/>
  <c r="X66" i="22"/>
  <c r="X76" i="22"/>
  <c r="X67" i="18"/>
  <c r="X78" i="18"/>
  <c r="X54" i="18"/>
  <c r="T69" i="25"/>
  <c r="O66" i="22"/>
  <c r="S66" i="22"/>
  <c r="T59" i="22"/>
  <c r="T64" i="22"/>
  <c r="V64" i="22" s="1"/>
  <c r="T70" i="22"/>
  <c r="T97" i="22"/>
  <c r="T98" i="22"/>
  <c r="U54" i="18"/>
  <c r="U90" i="18"/>
  <c r="V90" i="18"/>
  <c r="V37" i="18"/>
  <c r="U78" i="18"/>
  <c r="X37" i="18"/>
  <c r="U53" i="25"/>
  <c r="X75" i="25"/>
  <c r="U75" i="25"/>
  <c r="X54" i="22"/>
  <c r="U76" i="22"/>
  <c r="U88" i="22"/>
  <c r="U54" i="22"/>
  <c r="U65" i="25"/>
  <c r="X65" i="25"/>
  <c r="S75" i="25"/>
  <c r="U66" i="22"/>
  <c r="R37" i="22"/>
  <c r="R6" i="22" s="1"/>
  <c r="T22" i="22"/>
  <c r="T31" i="22"/>
  <c r="T32" i="22"/>
  <c r="W32" i="22" s="1"/>
  <c r="M35" i="22"/>
  <c r="Q54" i="22"/>
  <c r="Q5" i="22" s="1"/>
  <c r="T49" i="22"/>
  <c r="W49" i="22" s="1"/>
  <c r="P66" i="22"/>
  <c r="S37" i="22"/>
  <c r="S6" i="22" s="1"/>
  <c r="T34" i="22"/>
  <c r="T45" i="22"/>
  <c r="W45" i="22" s="1"/>
  <c r="Q66" i="22"/>
  <c r="T60" i="22"/>
  <c r="V60" i="22" s="1"/>
  <c r="T63" i="22"/>
  <c r="V63" i="22" s="1"/>
  <c r="S76" i="22"/>
  <c r="T74" i="22"/>
  <c r="W74" i="22" s="1"/>
  <c r="T21" i="22"/>
  <c r="X21" i="22" s="1"/>
  <c r="K15" i="32" s="1"/>
  <c r="T33" i="22"/>
  <c r="W33" i="22" s="1"/>
  <c r="O54" i="22"/>
  <c r="T47" i="22"/>
  <c r="W47" i="22" s="1"/>
  <c r="T48" i="22"/>
  <c r="T52" i="22"/>
  <c r="W52" i="22" s="1"/>
  <c r="R66" i="22"/>
  <c r="U77" i="28"/>
  <c r="X38" i="28"/>
  <c r="V38" i="28"/>
  <c r="U89" i="28"/>
  <c r="T43" i="28"/>
  <c r="W43" i="28" s="1"/>
  <c r="X55" i="28"/>
  <c r="V89" i="28"/>
  <c r="T20" i="28"/>
  <c r="X77" i="28"/>
  <c r="U55" i="28"/>
  <c r="M36" i="28"/>
  <c r="Q55" i="28"/>
  <c r="Q7" i="28" s="1"/>
  <c r="T44" i="25"/>
  <c r="W44" i="25" s="1"/>
  <c r="P53" i="25"/>
  <c r="T43" i="25"/>
  <c r="W43" i="25" s="1"/>
  <c r="T59" i="25"/>
  <c r="V59" i="25" s="1"/>
  <c r="T73" i="25"/>
  <c r="W73" i="25" s="1"/>
  <c r="O99" i="25"/>
  <c r="O102" i="25" s="1"/>
  <c r="S37" i="25"/>
  <c r="S6" i="25" s="1"/>
  <c r="R53" i="25"/>
  <c r="R5" i="25" s="1"/>
  <c r="R15" i="25" s="1"/>
  <c r="T45" i="25"/>
  <c r="W45" i="25" s="1"/>
  <c r="T7" i="25"/>
  <c r="W7" i="25" s="1"/>
  <c r="T63" i="25"/>
  <c r="V63" i="25" s="1"/>
  <c r="Q53" i="25"/>
  <c r="Q5" i="25" s="1"/>
  <c r="Q15" i="25" s="1"/>
  <c r="Q80" i="25" s="1"/>
  <c r="T48" i="25"/>
  <c r="R65" i="25"/>
  <c r="P75" i="25"/>
  <c r="O37" i="25"/>
  <c r="P65" i="25"/>
  <c r="T96" i="25"/>
  <c r="T31" i="25"/>
  <c r="W31" i="25" s="1"/>
  <c r="T35" i="25"/>
  <c r="T21" i="25"/>
  <c r="X21" i="25" s="1"/>
  <c r="T22" i="25"/>
  <c r="T33" i="25"/>
  <c r="W33" i="25" s="1"/>
  <c r="Q37" i="25"/>
  <c r="Q6" i="25" s="1"/>
  <c r="T42" i="25"/>
  <c r="W42" i="25" s="1"/>
  <c r="T46" i="25"/>
  <c r="W46" i="25" s="1"/>
  <c r="T8" i="25"/>
  <c r="W8" i="25" s="1"/>
  <c r="O65" i="25"/>
  <c r="T57" i="25"/>
  <c r="S65" i="25"/>
  <c r="T58" i="25"/>
  <c r="T60" i="25"/>
  <c r="T61" i="25"/>
  <c r="T62" i="25"/>
  <c r="V62" i="25" s="1"/>
  <c r="T71" i="25"/>
  <c r="W71" i="25" s="1"/>
  <c r="T32" i="25"/>
  <c r="W32" i="25" s="1"/>
  <c r="P37" i="25"/>
  <c r="T41" i="25"/>
  <c r="W41" i="25" s="1"/>
  <c r="T47" i="25"/>
  <c r="W47" i="25" s="1"/>
  <c r="T30" i="25"/>
  <c r="W30" i="25" s="1"/>
  <c r="T34" i="25"/>
  <c r="W34" i="25" s="1"/>
  <c r="M35" i="25"/>
  <c r="R37" i="25"/>
  <c r="R6" i="25" s="1"/>
  <c r="T70" i="25"/>
  <c r="T13" i="25"/>
  <c r="W13" i="25" s="1"/>
  <c r="T20" i="25"/>
  <c r="W20" i="25" s="1"/>
  <c r="O53" i="25"/>
  <c r="S53" i="25"/>
  <c r="S5" i="25" s="1"/>
  <c r="T49" i="25"/>
  <c r="W49" i="25" s="1"/>
  <c r="T50" i="25"/>
  <c r="W50" i="25" s="1"/>
  <c r="T51" i="25"/>
  <c r="W51" i="25" s="1"/>
  <c r="T4" i="25"/>
  <c r="W4" i="25" s="1"/>
  <c r="Q65" i="25"/>
  <c r="Q75" i="25"/>
  <c r="R75" i="25"/>
  <c r="T72" i="25"/>
  <c r="W72" i="25" s="1"/>
  <c r="O75" i="25"/>
  <c r="T20" i="22"/>
  <c r="O35" i="22"/>
  <c r="O37" i="22" s="1"/>
  <c r="S54" i="22"/>
  <c r="S5" i="22" s="1"/>
  <c r="S15" i="22" s="1"/>
  <c r="S81" i="22" s="1"/>
  <c r="T42" i="22"/>
  <c r="W42" i="22" s="1"/>
  <c r="T43" i="22"/>
  <c r="W43" i="22" s="1"/>
  <c r="P54" i="22"/>
  <c r="T41" i="22"/>
  <c r="W41" i="22" s="1"/>
  <c r="Q37" i="22"/>
  <c r="Q6" i="22" s="1"/>
  <c r="T44" i="22"/>
  <c r="W44" i="22" s="1"/>
  <c r="R54" i="22"/>
  <c r="R5" i="22" s="1"/>
  <c r="R15" i="22" s="1"/>
  <c r="T46" i="22"/>
  <c r="W46" i="22" s="1"/>
  <c r="T50" i="22"/>
  <c r="T12" i="22"/>
  <c r="W12" i="22" s="1"/>
  <c r="T61" i="22"/>
  <c r="T71" i="22"/>
  <c r="Q76" i="22"/>
  <c r="O100" i="22"/>
  <c r="T100" i="22" s="1"/>
  <c r="T51" i="22"/>
  <c r="W51" i="22" s="1"/>
  <c r="T13" i="22"/>
  <c r="W13" i="22" s="1"/>
  <c r="T58" i="22"/>
  <c r="T62" i="22"/>
  <c r="T72" i="22"/>
  <c r="W72" i="22" s="1"/>
  <c r="R76" i="22"/>
  <c r="T73" i="22"/>
  <c r="W73" i="22" s="1"/>
  <c r="O76" i="22"/>
  <c r="Q77" i="28"/>
  <c r="T60" i="28"/>
  <c r="T34" i="28"/>
  <c r="W34" i="28" s="1"/>
  <c r="T44" i="28"/>
  <c r="W44" i="28" s="1"/>
  <c r="R77" i="28"/>
  <c r="T98" i="28"/>
  <c r="Q38" i="28"/>
  <c r="Q8" i="28" s="1"/>
  <c r="T21" i="28"/>
  <c r="O55" i="28"/>
  <c r="S55" i="28"/>
  <c r="S7" i="28" s="1"/>
  <c r="T51" i="28"/>
  <c r="T52" i="28"/>
  <c r="W52" i="28" s="1"/>
  <c r="T15" i="28"/>
  <c r="W15" i="28" s="1"/>
  <c r="T63" i="28"/>
  <c r="T99" i="28"/>
  <c r="P38" i="28"/>
  <c r="T35" i="28"/>
  <c r="W35" i="28" s="1"/>
  <c r="R55" i="28"/>
  <c r="R7" i="28" s="1"/>
  <c r="R38" i="28"/>
  <c r="R8" i="28" s="1"/>
  <c r="T22" i="28"/>
  <c r="W22" i="28" s="1"/>
  <c r="T31" i="28"/>
  <c r="W31" i="28" s="1"/>
  <c r="T33" i="28"/>
  <c r="W33" i="28" s="1"/>
  <c r="T64" i="28"/>
  <c r="V64" i="28" s="1"/>
  <c r="T73" i="28"/>
  <c r="W73" i="28" s="1"/>
  <c r="S38" i="28"/>
  <c r="S8" i="28" s="1"/>
  <c r="T32" i="28"/>
  <c r="O36" i="28"/>
  <c r="T45" i="28"/>
  <c r="W45" i="28" s="1"/>
  <c r="T48" i="28"/>
  <c r="W48" i="28" s="1"/>
  <c r="P55" i="28"/>
  <c r="T42" i="28"/>
  <c r="W42" i="28" s="1"/>
  <c r="T46" i="28"/>
  <c r="W46" i="28" s="1"/>
  <c r="T47" i="28"/>
  <c r="W47" i="28" s="1"/>
  <c r="T49" i="28"/>
  <c r="T74" i="28"/>
  <c r="W74" i="28" s="1"/>
  <c r="O77" i="28"/>
  <c r="S77" i="28"/>
  <c r="O101" i="28"/>
  <c r="T101" i="28" s="1"/>
  <c r="T53" i="28"/>
  <c r="W53" i="28" s="1"/>
  <c r="T61" i="28"/>
  <c r="V61" i="28" s="1"/>
  <c r="T65" i="28"/>
  <c r="V65" i="28" s="1"/>
  <c r="T71" i="28"/>
  <c r="T75" i="28"/>
  <c r="W75" i="28" s="1"/>
  <c r="P77" i="28"/>
  <c r="T50" i="28"/>
  <c r="W50" i="28" s="1"/>
  <c r="T14" i="28"/>
  <c r="W14" i="28" s="1"/>
  <c r="T62" i="28"/>
  <c r="V62" i="28" s="1"/>
  <c r="T72" i="28"/>
  <c r="R17" i="28" l="1"/>
  <c r="S17" i="28"/>
  <c r="Q17" i="28"/>
  <c r="Q15" i="22"/>
  <c r="K35" i="32"/>
  <c r="K25" i="32"/>
  <c r="K11" i="32"/>
  <c r="X15" i="22"/>
  <c r="I11" i="32"/>
  <c r="V15" i="22"/>
  <c r="H11" i="32"/>
  <c r="U15" i="22"/>
  <c r="V51" i="28"/>
  <c r="W51" i="28"/>
  <c r="W55" i="28" s="1"/>
  <c r="P5" i="25"/>
  <c r="W59" i="22"/>
  <c r="V59" i="22"/>
  <c r="W71" i="28"/>
  <c r="V71" i="28"/>
  <c r="V49" i="28"/>
  <c r="W49" i="28"/>
  <c r="P7" i="28"/>
  <c r="P17" i="28" s="1"/>
  <c r="W63" i="28"/>
  <c r="V63" i="28"/>
  <c r="W60" i="28"/>
  <c r="V60" i="28"/>
  <c r="V67" i="28" s="1"/>
  <c r="W58" i="22"/>
  <c r="V58" i="22"/>
  <c r="V50" i="22"/>
  <c r="W50" i="22"/>
  <c r="W54" i="22" s="1"/>
  <c r="P6" i="25"/>
  <c r="W57" i="25"/>
  <c r="V57" i="25"/>
  <c r="V48" i="25"/>
  <c r="W48" i="25"/>
  <c r="V48" i="22"/>
  <c r="W48" i="22"/>
  <c r="O7" i="28"/>
  <c r="P87" i="28"/>
  <c r="Q87" i="28" s="1"/>
  <c r="R87" i="28" s="1"/>
  <c r="S87" i="28" s="1"/>
  <c r="W71" i="22"/>
  <c r="V71" i="22"/>
  <c r="W70" i="25"/>
  <c r="W75" i="25" s="1"/>
  <c r="V70" i="25"/>
  <c r="W60" i="25"/>
  <c r="V60" i="25"/>
  <c r="U35" i="25"/>
  <c r="W35" i="25"/>
  <c r="O6" i="25"/>
  <c r="P84" i="25"/>
  <c r="Q84" i="25" s="1"/>
  <c r="R84" i="25" s="1"/>
  <c r="S84" i="25" s="1"/>
  <c r="W70" i="22"/>
  <c r="W76" i="22" s="1"/>
  <c r="V70" i="22"/>
  <c r="V76" i="22" s="1"/>
  <c r="P6" i="22"/>
  <c r="W72" i="28"/>
  <c r="V72" i="28"/>
  <c r="P8" i="28"/>
  <c r="O103" i="22"/>
  <c r="W61" i="22"/>
  <c r="V61" i="22"/>
  <c r="P5" i="22"/>
  <c r="P15" i="22" s="1"/>
  <c r="O6" i="22"/>
  <c r="P85" i="22"/>
  <c r="Q85" i="22" s="1"/>
  <c r="R85" i="22" s="1"/>
  <c r="S85" i="22" s="1"/>
  <c r="P85" i="25"/>
  <c r="Q85" i="25" s="1"/>
  <c r="R85" i="25" s="1"/>
  <c r="S85" i="25" s="1"/>
  <c r="O5" i="25"/>
  <c r="O15" i="25" s="1"/>
  <c r="W58" i="25"/>
  <c r="V58" i="25"/>
  <c r="O5" i="22"/>
  <c r="O15" i="22" s="1"/>
  <c r="P86" i="22"/>
  <c r="Q86" i="22" s="1"/>
  <c r="R86" i="22" s="1"/>
  <c r="S86" i="22" s="1"/>
  <c r="W69" i="25"/>
  <c r="V69" i="25"/>
  <c r="V75" i="25" s="1"/>
  <c r="K7" i="32"/>
  <c r="W62" i="28"/>
  <c r="U62" i="28"/>
  <c r="U67" i="28" s="1"/>
  <c r="I12" i="32"/>
  <c r="K12" i="32"/>
  <c r="I7" i="32"/>
  <c r="H12" i="32"/>
  <c r="J11" i="32"/>
  <c r="J6" i="32"/>
  <c r="J7" i="32"/>
  <c r="H7" i="32"/>
  <c r="W67" i="28"/>
  <c r="T6" i="22"/>
  <c r="W6" i="22" s="1"/>
  <c r="V62" i="22"/>
  <c r="W62" i="22"/>
  <c r="W66" i="22" s="1"/>
  <c r="V61" i="25"/>
  <c r="V65" i="25" s="1"/>
  <c r="W61" i="25"/>
  <c r="W65" i="25" s="1"/>
  <c r="V37" i="25"/>
  <c r="V37" i="22"/>
  <c r="X37" i="25"/>
  <c r="X37" i="22"/>
  <c r="X81" i="22" s="1"/>
  <c r="T66" i="22"/>
  <c r="T99" i="25"/>
  <c r="W22" i="25"/>
  <c r="U22" i="25"/>
  <c r="U37" i="25" s="1"/>
  <c r="U80" i="25" s="1"/>
  <c r="U91" i="25" s="1"/>
  <c r="W34" i="22"/>
  <c r="U34" i="22"/>
  <c r="O38" i="28"/>
  <c r="T36" i="28"/>
  <c r="X83" i="18"/>
  <c r="O104" i="28"/>
  <c r="V55" i="28"/>
  <c r="W22" i="22"/>
  <c r="U22" i="22"/>
  <c r="W53" i="25"/>
  <c r="V53" i="25"/>
  <c r="V54" i="22"/>
  <c r="W77" i="28"/>
  <c r="T37" i="25"/>
  <c r="T75" i="25"/>
  <c r="T53" i="25"/>
  <c r="T65" i="25"/>
  <c r="T37" i="22"/>
  <c r="T76" i="22"/>
  <c r="T54" i="22"/>
  <c r="T35" i="22"/>
  <c r="T55" i="28"/>
  <c r="T67" i="28"/>
  <c r="T77" i="28"/>
  <c r="E70" i="18"/>
  <c r="F70" i="18"/>
  <c r="E58" i="18"/>
  <c r="F58" i="18"/>
  <c r="E3" i="18"/>
  <c r="F3" i="18"/>
  <c r="E40" i="18"/>
  <c r="F40" i="18"/>
  <c r="T5" i="22" l="1"/>
  <c r="W5" i="22" s="1"/>
  <c r="W15" i="22" s="1"/>
  <c r="T7" i="28"/>
  <c r="W7" i="28" s="1"/>
  <c r="P15" i="25"/>
  <c r="K13" i="32"/>
  <c r="U36" i="28"/>
  <c r="U38" i="28" s="1"/>
  <c r="W36" i="28"/>
  <c r="W38" i="28" s="1"/>
  <c r="V77" i="28"/>
  <c r="O8" i="28"/>
  <c r="T8" i="28" s="1"/>
  <c r="W8" i="28" s="1"/>
  <c r="P86" i="28"/>
  <c r="Q86" i="28" s="1"/>
  <c r="R86" i="28" s="1"/>
  <c r="S86" i="28" s="1"/>
  <c r="U35" i="22"/>
  <c r="W35" i="22"/>
  <c r="V66" i="22"/>
  <c r="K45" i="32"/>
  <c r="X80" i="25"/>
  <c r="V80" i="25"/>
  <c r="V91" i="25" s="1"/>
  <c r="Q82" i="28"/>
  <c r="V81" i="22"/>
  <c r="V92" i="22" s="1"/>
  <c r="T38" i="28"/>
  <c r="U37" i="22"/>
  <c r="P87" i="25"/>
  <c r="P102" i="25" s="1"/>
  <c r="T6" i="25"/>
  <c r="W6" i="25" s="1"/>
  <c r="R80" i="25"/>
  <c r="T5" i="25"/>
  <c r="W5" i="25" s="1"/>
  <c r="S80" i="25"/>
  <c r="P80" i="25"/>
  <c r="Q87" i="25"/>
  <c r="P88" i="22"/>
  <c r="Q81" i="22"/>
  <c r="R82" i="28"/>
  <c r="P82" i="28"/>
  <c r="W17" i="28" l="1"/>
  <c r="W15" i="25"/>
  <c r="O17" i="28"/>
  <c r="O82" i="28" s="1"/>
  <c r="K46" i="32"/>
  <c r="J46" i="32"/>
  <c r="S82" i="28"/>
  <c r="P81" i="22"/>
  <c r="P92" i="22" s="1"/>
  <c r="U81" i="22"/>
  <c r="U92" i="22" s="1"/>
  <c r="R81" i="22"/>
  <c r="P89" i="28"/>
  <c r="P104" i="28" s="1"/>
  <c r="P91" i="25"/>
  <c r="T84" i="25"/>
  <c r="X84" i="25" s="1"/>
  <c r="Q91" i="25"/>
  <c r="Q102" i="25"/>
  <c r="T15" i="25"/>
  <c r="O80" i="25"/>
  <c r="T80" i="25" s="1"/>
  <c r="R87" i="25"/>
  <c r="Q88" i="22"/>
  <c r="P103" i="22"/>
  <c r="T15" i="22"/>
  <c r="O81" i="22"/>
  <c r="Q89" i="28"/>
  <c r="T81" i="22" l="1"/>
  <c r="T17" i="28"/>
  <c r="T82" i="28"/>
  <c r="J45" i="32"/>
  <c r="P93" i="28"/>
  <c r="W37" i="25"/>
  <c r="W80" i="25" s="1"/>
  <c r="W91" i="25" s="1"/>
  <c r="W37" i="22"/>
  <c r="W81" i="22" s="1"/>
  <c r="W92" i="22" s="1"/>
  <c r="T86" i="22"/>
  <c r="X86" i="22" s="1"/>
  <c r="R91" i="25"/>
  <c r="R102" i="25"/>
  <c r="O91" i="25"/>
  <c r="R88" i="22"/>
  <c r="Q92" i="22"/>
  <c r="Q103" i="22"/>
  <c r="O92" i="22"/>
  <c r="Q93" i="28"/>
  <c r="Q104" i="28"/>
  <c r="T87" i="28"/>
  <c r="R89" i="28"/>
  <c r="X87" i="28" l="1"/>
  <c r="W87" i="28"/>
  <c r="K47" i="32"/>
  <c r="J47" i="32"/>
  <c r="O93" i="28"/>
  <c r="T85" i="25"/>
  <c r="X85" i="25" s="1"/>
  <c r="S87" i="25"/>
  <c r="T87" i="25" s="1"/>
  <c r="S88" i="22"/>
  <c r="T85" i="22"/>
  <c r="X85" i="22" s="1"/>
  <c r="X88" i="22" s="1"/>
  <c r="R92" i="22"/>
  <c r="R103" i="22"/>
  <c r="S89" i="28"/>
  <c r="T86" i="28"/>
  <c r="X86" i="28" s="1"/>
  <c r="R93" i="28"/>
  <c r="R104" i="28"/>
  <c r="M76" i="18"/>
  <c r="M14" i="18"/>
  <c r="M20" i="18"/>
  <c r="W89" i="28" l="1"/>
  <c r="X87" i="25"/>
  <c r="X91" i="25" s="1"/>
  <c r="K48" i="32" s="1"/>
  <c r="K49" i="32" s="1"/>
  <c r="X89" i="28"/>
  <c r="T91" i="25"/>
  <c r="T88" i="22"/>
  <c r="X92" i="22"/>
  <c r="S91" i="25"/>
  <c r="S102" i="25"/>
  <c r="T102" i="25" s="1"/>
  <c r="S92" i="22"/>
  <c r="S103" i="22"/>
  <c r="T103" i="22" s="1"/>
  <c r="S93" i="28"/>
  <c r="S104" i="28"/>
  <c r="T104" i="28" s="1"/>
  <c r="T89" i="28"/>
  <c r="S42" i="18"/>
  <c r="S43" i="18"/>
  <c r="S44" i="18"/>
  <c r="S45" i="18"/>
  <c r="S46" i="18"/>
  <c r="S47" i="18"/>
  <c r="S48" i="18"/>
  <c r="S49" i="18"/>
  <c r="S50" i="18"/>
  <c r="S51" i="18"/>
  <c r="S52" i="18"/>
  <c r="S41" i="18"/>
  <c r="R52" i="18"/>
  <c r="R51" i="18"/>
  <c r="R50" i="18"/>
  <c r="R49" i="18"/>
  <c r="R48" i="18"/>
  <c r="R47" i="18"/>
  <c r="R46" i="18"/>
  <c r="R45" i="18"/>
  <c r="R44" i="18"/>
  <c r="R43" i="18"/>
  <c r="R42" i="18"/>
  <c r="Q52" i="18"/>
  <c r="Q51" i="18"/>
  <c r="Q50" i="18"/>
  <c r="Q49" i="18"/>
  <c r="Q48" i="18"/>
  <c r="Q47" i="18"/>
  <c r="Q46" i="18"/>
  <c r="Q45" i="18"/>
  <c r="Q44" i="18"/>
  <c r="Q43" i="18"/>
  <c r="Q42" i="18"/>
  <c r="P52" i="18"/>
  <c r="P51" i="18"/>
  <c r="P50" i="18"/>
  <c r="P49" i="18"/>
  <c r="P48" i="18"/>
  <c r="P47" i="18"/>
  <c r="P46" i="18"/>
  <c r="P45" i="18"/>
  <c r="P44" i="18"/>
  <c r="P43" i="18"/>
  <c r="P42" i="18"/>
  <c r="O52" i="18"/>
  <c r="O42" i="18"/>
  <c r="O43" i="18"/>
  <c r="O44" i="18"/>
  <c r="O45" i="18"/>
  <c r="O46" i="18"/>
  <c r="O47" i="18"/>
  <c r="O48" i="18"/>
  <c r="O49" i="18"/>
  <c r="O50" i="18"/>
  <c r="O51" i="18"/>
  <c r="S20" i="18"/>
  <c r="S22" i="18"/>
  <c r="S30" i="18"/>
  <c r="S31" i="18"/>
  <c r="S32" i="18"/>
  <c r="S33" i="18"/>
  <c r="S34" i="18"/>
  <c r="R20" i="18"/>
  <c r="R22" i="18"/>
  <c r="R30" i="18"/>
  <c r="R31" i="18"/>
  <c r="R32" i="18"/>
  <c r="R33" i="18"/>
  <c r="R34" i="18"/>
  <c r="Q20" i="18"/>
  <c r="Q21" i="18"/>
  <c r="Q22" i="18"/>
  <c r="Q30" i="18"/>
  <c r="Q31" i="18"/>
  <c r="Q32" i="18"/>
  <c r="Q33" i="18"/>
  <c r="Q34" i="18"/>
  <c r="P20" i="18"/>
  <c r="P22" i="18"/>
  <c r="P30" i="18"/>
  <c r="P31" i="18"/>
  <c r="P32" i="18"/>
  <c r="P33" i="18"/>
  <c r="P34" i="18"/>
  <c r="O20" i="18"/>
  <c r="O22" i="18"/>
  <c r="O30" i="18"/>
  <c r="O31" i="18"/>
  <c r="O32" i="18"/>
  <c r="O33" i="18"/>
  <c r="O34" i="18"/>
  <c r="P35" i="18"/>
  <c r="J35" i="18"/>
  <c r="Q35" i="18" s="1"/>
  <c r="K35" i="18"/>
  <c r="R35" i="18" s="1"/>
  <c r="L35" i="18"/>
  <c r="S35" i="18" s="1"/>
  <c r="H35" i="18"/>
  <c r="O35" i="18" s="1"/>
  <c r="P21" i="18"/>
  <c r="K21" i="18"/>
  <c r="R21" i="18" s="1"/>
  <c r="L21" i="18"/>
  <c r="S21" i="18" s="1"/>
  <c r="O21" i="18"/>
  <c r="M72" i="18"/>
  <c r="M73" i="18"/>
  <c r="M75" i="18"/>
  <c r="M71" i="18"/>
  <c r="M65" i="18"/>
  <c r="K44" i="32" l="1"/>
  <c r="J48" i="32"/>
  <c r="J49" i="32" s="1"/>
  <c r="T92" i="22"/>
  <c r="T93" i="28"/>
  <c r="T20" i="18"/>
  <c r="U20" i="18" s="1"/>
  <c r="T34" i="18"/>
  <c r="W34" i="18" s="1"/>
  <c r="T31" i="18"/>
  <c r="W31" i="18" s="1"/>
  <c r="T35" i="18"/>
  <c r="T48" i="18"/>
  <c r="T44" i="18"/>
  <c r="W44" i="18" s="1"/>
  <c r="T51" i="18"/>
  <c r="W51" i="18" s="1"/>
  <c r="J23" i="32" s="1"/>
  <c r="T47" i="18"/>
  <c r="W47" i="18" s="1"/>
  <c r="T43" i="18"/>
  <c r="W43" i="18" s="1"/>
  <c r="T50" i="18"/>
  <c r="T46" i="18"/>
  <c r="W46" i="18" s="1"/>
  <c r="T42" i="18"/>
  <c r="W42" i="18" s="1"/>
  <c r="T22" i="18"/>
  <c r="W22" i="18" s="1"/>
  <c r="T49" i="18"/>
  <c r="W49" i="18" s="1"/>
  <c r="T45" i="18"/>
  <c r="W45" i="18" s="1"/>
  <c r="T33" i="18"/>
  <c r="W33" i="18" s="1"/>
  <c r="T32" i="18"/>
  <c r="W32" i="18" s="1"/>
  <c r="T52" i="18"/>
  <c r="W52" i="18" s="1"/>
  <c r="T30" i="18"/>
  <c r="W30" i="18" s="1"/>
  <c r="T21" i="18"/>
  <c r="V50" i="18" l="1"/>
  <c r="W50" i="18"/>
  <c r="V48" i="18"/>
  <c r="V54" i="18" s="1"/>
  <c r="W48" i="18"/>
  <c r="U35" i="18"/>
  <c r="H15" i="32" s="1"/>
  <c r="W35" i="18"/>
  <c r="J15" i="32" s="1"/>
  <c r="J44" i="32"/>
  <c r="I44" i="32"/>
  <c r="W37" i="18"/>
  <c r="U37" i="18"/>
  <c r="P100" i="18"/>
  <c r="P102" i="18" s="1"/>
  <c r="Q100" i="18"/>
  <c r="Q102" i="18" s="1"/>
  <c r="R100" i="18"/>
  <c r="R102" i="18" s="1"/>
  <c r="S100" i="18"/>
  <c r="S102" i="18" s="1"/>
  <c r="O100" i="18"/>
  <c r="P99" i="18"/>
  <c r="Q99" i="18"/>
  <c r="R99" i="18"/>
  <c r="S99" i="18"/>
  <c r="O99" i="18"/>
  <c r="M88" i="18"/>
  <c r="M87" i="18"/>
  <c r="I16" i="32" l="1"/>
  <c r="T99" i="18"/>
  <c r="T100" i="18"/>
  <c r="O102" i="18"/>
  <c r="O90" i="18"/>
  <c r="T102" i="18" l="1"/>
  <c r="O105" i="18"/>
  <c r="M64" i="18"/>
  <c r="M63" i="18"/>
  <c r="M59" i="18"/>
  <c r="M62" i="18"/>
  <c r="M61" i="18"/>
  <c r="M42" i="18"/>
  <c r="M43" i="18"/>
  <c r="M44" i="18"/>
  <c r="M45" i="18"/>
  <c r="M46" i="18"/>
  <c r="M47" i="18"/>
  <c r="M48" i="18"/>
  <c r="M49" i="18"/>
  <c r="M50" i="18"/>
  <c r="M51" i="18"/>
  <c r="M52" i="18"/>
  <c r="M41" i="18"/>
  <c r="S59" i="18"/>
  <c r="R59" i="18"/>
  <c r="Q59" i="18"/>
  <c r="P59" i="18"/>
  <c r="O59" i="18"/>
  <c r="S65" i="18"/>
  <c r="R65" i="18"/>
  <c r="Q65" i="18"/>
  <c r="P65" i="18"/>
  <c r="O65" i="18"/>
  <c r="S64" i="18"/>
  <c r="R64" i="18"/>
  <c r="Q64" i="18"/>
  <c r="P64" i="18"/>
  <c r="O64" i="18"/>
  <c r="S63" i="18"/>
  <c r="R63" i="18"/>
  <c r="Q63" i="18"/>
  <c r="P63" i="18"/>
  <c r="O63" i="18"/>
  <c r="S62" i="18"/>
  <c r="R62" i="18"/>
  <c r="Q62" i="18"/>
  <c r="P62" i="18"/>
  <c r="O62" i="18"/>
  <c r="S61" i="18"/>
  <c r="R61" i="18"/>
  <c r="Q61" i="18"/>
  <c r="P61" i="18"/>
  <c r="O61" i="18"/>
  <c r="T59" i="18" l="1"/>
  <c r="Q67" i="18"/>
  <c r="R67" i="18"/>
  <c r="O67" i="18"/>
  <c r="S67" i="18"/>
  <c r="T61" i="18"/>
  <c r="V61" i="18" s="1"/>
  <c r="T62" i="18"/>
  <c r="T63" i="18"/>
  <c r="T64" i="18"/>
  <c r="V64" i="18" s="1"/>
  <c r="T65" i="18"/>
  <c r="V65" i="18" s="1"/>
  <c r="P67" i="18"/>
  <c r="W63" i="18" l="1"/>
  <c r="V63" i="18"/>
  <c r="U62" i="18"/>
  <c r="H27" i="32" s="1"/>
  <c r="V62" i="18"/>
  <c r="I32" i="32"/>
  <c r="W59" i="18"/>
  <c r="W67" i="18" s="1"/>
  <c r="V59" i="18"/>
  <c r="T67" i="18"/>
  <c r="S71" i="18"/>
  <c r="S72" i="18"/>
  <c r="S73" i="18"/>
  <c r="S75" i="18"/>
  <c r="S76" i="18"/>
  <c r="S13" i="18"/>
  <c r="S14" i="18"/>
  <c r="M13" i="18"/>
  <c r="S19" i="18"/>
  <c r="R19" i="18"/>
  <c r="U67" i="18" l="1"/>
  <c r="V67" i="18"/>
  <c r="H40" i="32"/>
  <c r="U83" i="18"/>
  <c r="U94" i="18" s="1"/>
  <c r="H45" i="32" s="1"/>
  <c r="S78" i="18"/>
  <c r="S54" i="18"/>
  <c r="S37" i="18"/>
  <c r="S6" i="18" l="1"/>
  <c r="S32" i="29"/>
  <c r="S7" i="18"/>
  <c r="S16" i="18" l="1"/>
  <c r="S85" i="29"/>
  <c r="S96" i="29" s="1"/>
  <c r="M21" i="18"/>
  <c r="M22" i="18"/>
  <c r="M30" i="18"/>
  <c r="M31" i="18"/>
  <c r="M32" i="18"/>
  <c r="M33" i="18"/>
  <c r="M34" i="18"/>
  <c r="M35" i="18"/>
  <c r="M19" i="18"/>
  <c r="P19" i="18"/>
  <c r="Q19" i="18"/>
  <c r="O19" i="18"/>
  <c r="O41" i="18"/>
  <c r="O72" i="18"/>
  <c r="P72" i="18"/>
  <c r="Q72" i="18"/>
  <c r="R72" i="18"/>
  <c r="O73" i="18"/>
  <c r="P73" i="18"/>
  <c r="Q73" i="18"/>
  <c r="R73" i="18"/>
  <c r="O75" i="18"/>
  <c r="P75" i="18"/>
  <c r="Q75" i="18"/>
  <c r="R75" i="18"/>
  <c r="O76" i="18"/>
  <c r="P76" i="18"/>
  <c r="Q76" i="18"/>
  <c r="R76" i="18"/>
  <c r="P71" i="18"/>
  <c r="Q71" i="18"/>
  <c r="R71" i="18"/>
  <c r="O71" i="18"/>
  <c r="P14" i="18"/>
  <c r="Q14" i="18"/>
  <c r="R14" i="18"/>
  <c r="P13" i="18"/>
  <c r="Q13" i="18"/>
  <c r="R13" i="18"/>
  <c r="O13" i="18"/>
  <c r="P41" i="18"/>
  <c r="Q41" i="18"/>
  <c r="R41" i="18"/>
  <c r="T14" i="18" l="1"/>
  <c r="P78" i="18"/>
  <c r="S83" i="18"/>
  <c r="T19" i="18"/>
  <c r="W14" i="18"/>
  <c r="T76" i="18"/>
  <c r="W76" i="18" s="1"/>
  <c r="T75" i="18"/>
  <c r="W75" i="18" s="1"/>
  <c r="T73" i="18"/>
  <c r="W73" i="18" s="1"/>
  <c r="T72" i="18"/>
  <c r="T13" i="18"/>
  <c r="W13" i="18" s="1"/>
  <c r="T71" i="18"/>
  <c r="T41" i="18"/>
  <c r="W41" i="18" s="1"/>
  <c r="Q78" i="18"/>
  <c r="R78" i="18"/>
  <c r="O78" i="18"/>
  <c r="P37" i="18"/>
  <c r="Q37" i="18"/>
  <c r="R37" i="18"/>
  <c r="O37" i="18"/>
  <c r="P54" i="18"/>
  <c r="Q54" i="18"/>
  <c r="R54" i="18"/>
  <c r="O54" i="18"/>
  <c r="T78" i="18" l="1"/>
  <c r="J9" i="32"/>
  <c r="R6" i="18"/>
  <c r="Q6" i="18"/>
  <c r="R32" i="29"/>
  <c r="R7" i="18"/>
  <c r="W71" i="18"/>
  <c r="J27" i="32" s="1"/>
  <c r="V71" i="18"/>
  <c r="P6" i="18"/>
  <c r="P7" i="18"/>
  <c r="W72" i="18"/>
  <c r="J28" i="32" s="1"/>
  <c r="V72" i="18"/>
  <c r="I28" i="32" s="1"/>
  <c r="Q32" i="29"/>
  <c r="Q7" i="18"/>
  <c r="O6" i="18"/>
  <c r="P88" i="18"/>
  <c r="Q88" i="18" s="1"/>
  <c r="R88" i="18" s="1"/>
  <c r="S88" i="18" s="1"/>
  <c r="O7" i="18"/>
  <c r="P87" i="18"/>
  <c r="Q87" i="18" s="1"/>
  <c r="R87" i="18" s="1"/>
  <c r="S87" i="18" s="1"/>
  <c r="W54" i="18"/>
  <c r="J16" i="32"/>
  <c r="J24" i="32"/>
  <c r="P32" i="29"/>
  <c r="O32" i="29"/>
  <c r="W78" i="18"/>
  <c r="T54" i="18"/>
  <c r="T37" i="18"/>
  <c r="Q85" i="29" l="1"/>
  <c r="P16" i="18"/>
  <c r="Q16" i="18"/>
  <c r="O16" i="18"/>
  <c r="R16" i="18"/>
  <c r="R83" i="18" s="1"/>
  <c r="O85" i="29"/>
  <c r="P85" i="29"/>
  <c r="R85" i="29"/>
  <c r="V78" i="18"/>
  <c r="I27" i="32"/>
  <c r="T32" i="29"/>
  <c r="T6" i="18"/>
  <c r="W6" i="18" s="1"/>
  <c r="T7" i="18"/>
  <c r="W7" i="18" s="1"/>
  <c r="Q96" i="29"/>
  <c r="P96" i="29"/>
  <c r="R96" i="29"/>
  <c r="T4" i="29"/>
  <c r="P90" i="18"/>
  <c r="T85" i="29" l="1"/>
  <c r="T16" i="18"/>
  <c r="W16" i="18"/>
  <c r="O83" i="18"/>
  <c r="Q83" i="18"/>
  <c r="P83" i="18"/>
  <c r="V83" i="18"/>
  <c r="V94" i="18" s="1"/>
  <c r="H46" i="32" s="1"/>
  <c r="I40" i="32"/>
  <c r="J12" i="32"/>
  <c r="P105" i="18"/>
  <c r="W4" i="29"/>
  <c r="Q90" i="18"/>
  <c r="T87" i="18"/>
  <c r="T83" i="18" l="1"/>
  <c r="M30" i="32"/>
  <c r="M28" i="32"/>
  <c r="M32" i="32"/>
  <c r="M27" i="32"/>
  <c r="M31" i="32"/>
  <c r="M29" i="32"/>
  <c r="W87" i="18"/>
  <c r="X87" i="18"/>
  <c r="K38" i="32" s="1"/>
  <c r="K39" i="32" s="1"/>
  <c r="K40" i="32" s="1"/>
  <c r="W32" i="29"/>
  <c r="W85" i="29" s="1"/>
  <c r="W96" i="29" s="1"/>
  <c r="R90" i="18"/>
  <c r="S90" i="18"/>
  <c r="O96" i="29"/>
  <c r="T96" i="29"/>
  <c r="O94" i="18"/>
  <c r="W83" i="18"/>
  <c r="Q105" i="18"/>
  <c r="T88" i="18"/>
  <c r="W88" i="18" s="1"/>
  <c r="W90" i="18" s="1"/>
  <c r="P94" i="18"/>
  <c r="R105" i="18" l="1"/>
  <c r="M35" i="32"/>
  <c r="M40" i="32" s="1"/>
  <c r="J38" i="32"/>
  <c r="X90" i="18"/>
  <c r="L47" i="32"/>
  <c r="L49" i="32" s="1"/>
  <c r="L44" i="32"/>
  <c r="W94" i="18"/>
  <c r="T90" i="18"/>
  <c r="S105" i="18"/>
  <c r="T105" i="18" s="1"/>
  <c r="J40" i="32" l="1"/>
  <c r="X94" i="18"/>
  <c r="H48" i="32" s="1"/>
  <c r="H47" i="32"/>
  <c r="Q94" i="18"/>
  <c r="R94" i="18"/>
  <c r="S94" i="18"/>
  <c r="L2" i="32" l="1"/>
  <c r="N2" i="32" s="1"/>
  <c r="L11" i="32"/>
  <c r="N11" i="32" s="1"/>
  <c r="L12" i="32"/>
  <c r="N12" i="32" s="1"/>
  <c r="L6" i="32"/>
  <c r="N6" i="32" s="1"/>
  <c r="L20" i="32"/>
  <c r="N20" i="32" s="1"/>
  <c r="L15" i="32"/>
  <c r="N15" i="32" s="1"/>
  <c r="L10" i="32"/>
  <c r="N10" i="32" s="1"/>
  <c r="L18" i="32"/>
  <c r="N18" i="32" s="1"/>
  <c r="L19" i="32"/>
  <c r="N19" i="32" s="1"/>
  <c r="L17" i="32"/>
  <c r="N17" i="32" s="1"/>
  <c r="L22" i="32"/>
  <c r="N22" i="32" s="1"/>
  <c r="L21" i="32"/>
  <c r="N21" i="32" s="1"/>
  <c r="L9" i="32"/>
  <c r="N9" i="32" s="1"/>
  <c r="L5" i="32"/>
  <c r="N5" i="32" s="1"/>
  <c r="L3" i="32"/>
  <c r="N3" i="32" s="1"/>
  <c r="L8" i="32"/>
  <c r="N8" i="32" s="1"/>
  <c r="L23" i="32"/>
  <c r="N23" i="32" s="1"/>
  <c r="L16" i="32"/>
  <c r="N16" i="32" s="1"/>
  <c r="L24" i="32"/>
  <c r="N24" i="32" s="1"/>
  <c r="L4" i="32"/>
  <c r="N4" i="32" s="1"/>
  <c r="L7" i="32"/>
  <c r="N7" i="32" s="1"/>
  <c r="O10" i="32"/>
  <c r="L38" i="32"/>
  <c r="L39" i="32" s="1"/>
  <c r="L33" i="32"/>
  <c r="L34" i="32"/>
  <c r="N34" i="32" s="1"/>
  <c r="L32" i="32"/>
  <c r="L31" i="32"/>
  <c r="L27" i="32"/>
  <c r="L29" i="32"/>
  <c r="L30" i="32"/>
  <c r="N30" i="32" s="1"/>
  <c r="L28" i="32"/>
  <c r="J41" i="32"/>
  <c r="H49" i="32"/>
  <c r="T94" i="18"/>
  <c r="L35" i="32" l="1"/>
  <c r="L25" i="32"/>
  <c r="L13" i="32"/>
  <c r="N31" i="32"/>
  <c r="O31" i="32" s="1"/>
  <c r="O30" i="32"/>
  <c r="N32" i="32"/>
  <c r="O32" i="32" s="1"/>
  <c r="O20" i="32"/>
  <c r="O12" i="32"/>
  <c r="O18" i="32"/>
  <c r="O7" i="32"/>
  <c r="N28" i="32"/>
  <c r="O28" i="32" s="1"/>
  <c r="O22" i="32"/>
  <c r="O11" i="32"/>
  <c r="O9" i="32"/>
  <c r="O34" i="32"/>
  <c r="N33" i="32"/>
  <c r="O33" i="32" s="1"/>
  <c r="O3" i="32"/>
  <c r="N29" i="32"/>
  <c r="O29" i="32" s="1"/>
  <c r="N27" i="32"/>
  <c r="O17" i="32"/>
  <c r="O16" i="32"/>
  <c r="O5" i="32"/>
  <c r="O23" i="32"/>
  <c r="O21" i="32"/>
  <c r="O19" i="32"/>
  <c r="O8" i="32"/>
  <c r="O4" i="32"/>
  <c r="O6" i="32"/>
  <c r="N38" i="32"/>
  <c r="H44" i="32"/>
  <c r="M44" i="32" s="1"/>
  <c r="L40" i="32" l="1"/>
  <c r="O38" i="32"/>
  <c r="O39" i="32" s="1"/>
  <c r="N39" i="32"/>
  <c r="O27" i="32"/>
  <c r="O35" i="32" s="1"/>
  <c r="N35" i="32"/>
  <c r="N25" i="32"/>
  <c r="O24" i="32"/>
  <c r="O15" i="32"/>
  <c r="O2" i="32"/>
  <c r="O13" i="32" s="1"/>
  <c r="N13" i="32"/>
  <c r="W82" i="28"/>
  <c r="W93" i="28" s="1"/>
  <c r="N40" i="32" l="1"/>
  <c r="O25" i="32"/>
  <c r="O40" i="32" s="1"/>
  <c r="I47" i="32"/>
  <c r="M47" i="32" s="1"/>
  <c r="X82" i="28" l="1"/>
  <c r="X93" i="28" s="1"/>
  <c r="I48" i="32" l="1"/>
  <c r="M48" i="32" s="1"/>
  <c r="V82" i="28"/>
  <c r="V93" i="28" s="1"/>
  <c r="I46" i="32" l="1"/>
  <c r="M46" i="32" s="1"/>
  <c r="U82" i="28"/>
  <c r="U93" i="28" s="1"/>
  <c r="I45" i="32" l="1"/>
  <c r="I49" i="32" l="1"/>
  <c r="M49" i="32" s="1"/>
  <c r="M45"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3" authorId="0" shapeId="0" xr:uid="{F8D59185-B43F-3E44-9927-23BDC3750BBD}">
      <text>
        <r>
          <rPr>
            <sz val="12"/>
            <color rgb="FF000000"/>
            <rFont val="Calibri"/>
            <family val="2"/>
          </rPr>
          <t xml:space="preserve">[Threaded comment]
</t>
        </r>
        <r>
          <rPr>
            <sz val="12"/>
            <color rgb="FF000000"/>
            <rFont val="Calibri"/>
            <family val="2"/>
          </rPr>
          <t xml:space="preserve">
</t>
        </r>
        <r>
          <rPr>
            <sz val="12"/>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2"/>
            <color rgb="FF000000"/>
            <rFont val="Calibri"/>
            <family val="2"/>
          </rPr>
          <t xml:space="preserve">
</t>
        </r>
        <r>
          <rPr>
            <sz val="12"/>
            <color rgb="FF000000"/>
            <rFont val="Calibri"/>
            <family val="2"/>
          </rPr>
          <t xml:space="preserve">Comment:
</t>
        </r>
        <r>
          <rPr>
            <sz val="12"/>
            <color rgb="FF000000"/>
            <rFont val="Calibri"/>
            <family val="2"/>
          </rPr>
          <t xml:space="preserve">    Pour ce type de poste, je pense qu'une société de gestion proposerait a minima un candidat autour de 800euros/jour tout compris (honoraires, frais administratifs expat, logement, assurance, transports internationaux, marge de la société de gestion). Compte tenu de l'enveloppe budgétare, je pense que le prix journalier serait même plus élevé.</t>
        </r>
      </text>
    </comment>
    <comment ref="E9" authorId="0" shapeId="0" xr:uid="{4940B722-541D-1645-BCFD-DAA7D324F854}">
      <text>
        <r>
          <rPr>
            <sz val="12"/>
            <color rgb="FF000000"/>
            <rFont val="Calibri"/>
            <family val="2"/>
          </rPr>
          <t xml:space="preserve">[Threaded comment]
</t>
        </r>
        <r>
          <rPr>
            <sz val="12"/>
            <color rgb="FF000000"/>
            <rFont val="Calibri"/>
            <family val="2"/>
          </rPr>
          <t xml:space="preserve">
</t>
        </r>
        <r>
          <rPr>
            <sz val="12"/>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2"/>
            <color rgb="FF000000"/>
            <rFont val="Calibri"/>
            <family val="2"/>
          </rPr>
          <t xml:space="preserve">
</t>
        </r>
        <r>
          <rPr>
            <sz val="12"/>
            <color rgb="FF000000"/>
            <rFont val="Calibri"/>
            <family val="2"/>
          </rPr>
          <t xml:space="preserve">Comment:
</t>
        </r>
        <r>
          <rPr>
            <sz val="12"/>
            <color rgb="FF000000"/>
            <rFont val="Calibri"/>
            <family val="2"/>
          </rPr>
          <t xml:space="preserve">    J'ai augmenté le salaire à 2000euros</t>
        </r>
      </text>
    </comment>
    <comment ref="A17" authorId="0" shapeId="0" xr:uid="{4A1F93ED-06B9-9E40-9560-200F193B9F53}">
      <text>
        <r>
          <rPr>
            <sz val="12"/>
            <color rgb="FF000000"/>
            <rFont val="Calibri"/>
            <family val="2"/>
          </rPr>
          <t xml:space="preserve">[Threaded comment]
</t>
        </r>
        <r>
          <rPr>
            <sz val="12"/>
            <color rgb="FF000000"/>
            <rFont val="Calibri"/>
            <family val="2"/>
          </rPr>
          <t xml:space="preserve">
</t>
        </r>
        <r>
          <rPr>
            <sz val="12"/>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2"/>
            <color rgb="FF000000"/>
            <rFont val="Calibri"/>
            <family val="2"/>
          </rPr>
          <t xml:space="preserve">
</t>
        </r>
        <r>
          <rPr>
            <sz val="12"/>
            <color rgb="FF000000"/>
            <rFont val="Calibri"/>
            <family val="2"/>
          </rPr>
          <t xml:space="preserve">Comment:
</t>
        </r>
        <r>
          <rPr>
            <sz val="12"/>
            <color rgb="FF000000"/>
            <rFont val="Calibri"/>
            <family val="2"/>
          </rPr>
          <t xml:space="preserve">    Il faut ici prévoir un montant forfaitaire de voyage par année permettant au RPC de voyager dans la région et à l'étranger, mais également à certaines personne de son équipes (comptable, communication a minima). il est fréquent que ces personnes aient à voyager dans le cadre de leurs activités.</t>
        </r>
      </text>
    </comment>
    <comment ref="A19" authorId="0" shapeId="0" xr:uid="{D2C6C9E8-8BEA-4B4C-8259-D6A4DC1304CE}">
      <text>
        <r>
          <rPr>
            <sz val="12"/>
            <color rgb="FF000000"/>
            <rFont val="Calibri"/>
            <family val="2"/>
          </rPr>
          <t xml:space="preserve">[Threaded comment]
</t>
        </r>
        <r>
          <rPr>
            <sz val="12"/>
            <color rgb="FF000000"/>
            <rFont val="Calibri"/>
            <family val="2"/>
          </rPr>
          <t xml:space="preserve">
</t>
        </r>
        <r>
          <rPr>
            <sz val="12"/>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2"/>
            <color rgb="FF000000"/>
            <rFont val="Calibri"/>
            <family val="2"/>
          </rPr>
          <t xml:space="preserve">
</t>
        </r>
        <r>
          <rPr>
            <sz val="12"/>
            <color rgb="FF000000"/>
            <rFont val="Calibri"/>
            <family val="2"/>
          </rPr>
          <t xml:space="preserve">Comment:
</t>
        </r>
        <r>
          <rPr>
            <sz val="12"/>
            <color rgb="FF000000"/>
            <rFont val="Calibri"/>
            <family val="2"/>
          </rPr>
          <t xml:space="preserve">    Pour un projet de cette nature, je pense que le SC doit être envisagé sur 2 jours. J'ai augmenté le prix à 25keuros au lieu de 20keuros.</t>
        </r>
      </text>
    </comment>
    <comment ref="A20" authorId="0" shapeId="0" xr:uid="{DF8C440B-B85B-D24E-A314-90F79E0065C3}">
      <text>
        <r>
          <rPr>
            <sz val="12"/>
            <color rgb="FF000000"/>
            <rFont val="Calibri"/>
            <family val="2"/>
          </rPr>
          <t xml:space="preserve">[Threaded comment]
</t>
        </r>
        <r>
          <rPr>
            <sz val="12"/>
            <color rgb="FF000000"/>
            <rFont val="Calibri"/>
            <family val="2"/>
          </rPr>
          <t xml:space="preserve">
</t>
        </r>
        <r>
          <rPr>
            <sz val="12"/>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2"/>
            <color rgb="FF000000"/>
            <rFont val="Calibri"/>
            <family val="2"/>
          </rPr>
          <t xml:space="preserve">
</t>
        </r>
        <r>
          <rPr>
            <sz val="12"/>
            <color rgb="FF000000"/>
            <rFont val="Calibri"/>
            <family val="2"/>
          </rPr>
          <t xml:space="preserve">Comment:
</t>
        </r>
        <r>
          <rPr>
            <sz val="12"/>
            <color rgb="FF000000"/>
            <rFont val="Calibri"/>
            <family val="2"/>
          </rPr>
          <t xml:space="preserve">    Selon moi, les NPS sont à la charge des institutions. Je pense que des budgets sont à prévoir uniquement pour les pays où des participants pourraient avoir à se déplacer comme aux Comores ou à Madagascar. Je propose de baisser le tarif à 5keuros/an. Ces coûts ne sont pas des per diem versés aux participants nationaux, sauf pour ceux qui se déplacent aux Comores et à Madagascar et venant de loin, pas de la capital.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50" authorId="0" shapeId="0" xr:uid="{00000000-0006-0000-0000-000001000000}">
      <text>
        <r>
          <rPr>
            <b/>
            <sz val="9"/>
            <color indexed="81"/>
            <rFont val="Tahoma"/>
            <family val="2"/>
          </rPr>
          <t>Author:</t>
        </r>
        <r>
          <rPr>
            <sz val="9"/>
            <color indexed="81"/>
            <rFont val="Tahoma"/>
            <family val="2"/>
          </rPr>
          <t xml:space="preserve">
Nouvelle chaine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51" authorId="0" shapeId="0" xr:uid="{42F2ABF0-A3D3-4093-AFCF-1823E3083FFB}">
      <text>
        <r>
          <rPr>
            <b/>
            <sz val="9"/>
            <color indexed="81"/>
            <rFont val="Tahoma"/>
            <family val="2"/>
          </rPr>
          <t>Author:</t>
        </r>
        <r>
          <rPr>
            <sz val="9"/>
            <color indexed="81"/>
            <rFont val="Tahoma"/>
            <family val="2"/>
          </rPr>
          <t xml:space="preserve">
Nouvelle chaine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50" authorId="0" shapeId="0" xr:uid="{5B37796B-D881-4A99-B659-15500C9383C8}">
      <text>
        <r>
          <rPr>
            <b/>
            <sz val="9"/>
            <color indexed="81"/>
            <rFont val="Tahoma"/>
            <family val="2"/>
          </rPr>
          <t>Author:</t>
        </r>
        <r>
          <rPr>
            <sz val="9"/>
            <color indexed="81"/>
            <rFont val="Tahoma"/>
            <family val="2"/>
          </rPr>
          <t xml:space="preserve">
Nouvelle chaine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49" authorId="0" shapeId="0" xr:uid="{155DCF3C-DAF2-4394-B1AB-F08DA7965C4F}">
      <text>
        <r>
          <rPr>
            <b/>
            <sz val="9"/>
            <color indexed="81"/>
            <rFont val="Tahoma"/>
            <family val="2"/>
          </rPr>
          <t>Author:</t>
        </r>
        <r>
          <rPr>
            <sz val="9"/>
            <color indexed="81"/>
            <rFont val="Tahoma"/>
            <family val="2"/>
          </rPr>
          <t xml:space="preserve">
Nouvelle chaine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4" authorId="0" shapeId="0" xr:uid="{635D94CC-CCDD-4F2C-A826-A69188F39FC3}">
      <text>
        <r>
          <rPr>
            <b/>
            <sz val="9"/>
            <color indexed="81"/>
            <rFont val="Tahoma"/>
            <family val="2"/>
          </rPr>
          <t>Author:</t>
        </r>
        <r>
          <rPr>
            <sz val="9"/>
            <color indexed="81"/>
            <rFont val="Tahoma"/>
            <family val="2"/>
          </rPr>
          <t xml:space="preserve">
attention 5% max du budget</t>
        </r>
      </text>
    </comment>
    <comment ref="L53" authorId="0" shapeId="0" xr:uid="{6B2B002B-83A5-4512-AB4D-EEA172CA2265}">
      <text>
        <r>
          <rPr>
            <b/>
            <sz val="9"/>
            <color indexed="81"/>
            <rFont val="Tahoma"/>
            <family val="2"/>
          </rPr>
          <t>Author:</t>
        </r>
        <r>
          <rPr>
            <sz val="9"/>
            <color indexed="81"/>
            <rFont val="Tahoma"/>
            <family val="2"/>
          </rPr>
          <t xml:space="preserve">
Nouvelle chaine</t>
        </r>
      </text>
    </comment>
  </commentList>
</comments>
</file>

<file path=xl/sharedStrings.xml><?xml version="1.0" encoding="utf-8"?>
<sst xmlns="http://schemas.openxmlformats.org/spreadsheetml/2006/main" count="1782" uniqueCount="324">
  <si>
    <t>TOTAL</t>
  </si>
  <si>
    <t>Formation</t>
  </si>
  <si>
    <t>Radar doppler</t>
  </si>
  <si>
    <t>Outil de climatologie</t>
  </si>
  <si>
    <t>OBS</t>
  </si>
  <si>
    <t>INFO</t>
  </si>
  <si>
    <t>Construction</t>
  </si>
  <si>
    <t>Sous-projets</t>
  </si>
  <si>
    <t>TRANS</t>
  </si>
  <si>
    <t>Budget
2018</t>
  </si>
  <si>
    <r>
      <t>Budget
2019</t>
    </r>
    <r>
      <rPr>
        <sz val="11"/>
        <color theme="1"/>
        <rFont val="Calibri"/>
        <family val="2"/>
        <scheme val="minor"/>
      </rPr>
      <t/>
    </r>
  </si>
  <si>
    <r>
      <t>Budget
2020</t>
    </r>
    <r>
      <rPr>
        <sz val="11"/>
        <color theme="1"/>
        <rFont val="Calibri"/>
        <family val="2"/>
        <scheme val="minor"/>
      </rPr>
      <t/>
    </r>
  </si>
  <si>
    <r>
      <t>Budget
2021</t>
    </r>
    <r>
      <rPr>
        <sz val="11"/>
        <color theme="1"/>
        <rFont val="Calibri"/>
        <family val="2"/>
        <scheme val="minor"/>
      </rPr>
      <t/>
    </r>
  </si>
  <si>
    <t xml:space="preserve">Systèmes d'Information </t>
  </si>
  <si>
    <t>Système de radiosondage  et Générateur d'Hydrogène</t>
  </si>
  <si>
    <t>Affichage Public</t>
  </si>
  <si>
    <t>Systèmes d'Observation</t>
  </si>
  <si>
    <t>Accompagnement</t>
  </si>
  <si>
    <t>Collecte de Données</t>
  </si>
  <si>
    <t>Intégration systèmes d'information</t>
  </si>
  <si>
    <t>Intégration systèmes d'observations</t>
  </si>
  <si>
    <t>Système de production TV</t>
  </si>
  <si>
    <t>SERVICES</t>
  </si>
  <si>
    <t>Bouée hauteur vague</t>
  </si>
  <si>
    <t>Réhabilitation centre de maintenance</t>
  </si>
  <si>
    <t>Système automatique d'observation aéroport</t>
  </si>
  <si>
    <t>Type</t>
  </si>
  <si>
    <t>Equipement</t>
  </si>
  <si>
    <t>Système</t>
  </si>
  <si>
    <t>Stockage archive et traitement des données</t>
  </si>
  <si>
    <t>Production de dossiers de vol</t>
  </si>
  <si>
    <t>Production d'alertes et produits</t>
  </si>
  <si>
    <t>Assistance technique</t>
  </si>
  <si>
    <t>Modèles pour urgences (pollution atmo, marine, …)</t>
  </si>
  <si>
    <t>Modèles atmosphériques: descente d'échelle dynamique</t>
  </si>
  <si>
    <t>Centre de calcul (énergie, mise au normes réseau, …)</t>
  </si>
  <si>
    <t>Total qté</t>
  </si>
  <si>
    <t>Budget Unitaire</t>
  </si>
  <si>
    <t>Tour radar</t>
  </si>
  <si>
    <t>Budget
2022</t>
  </si>
  <si>
    <t>Agro-Météorologie</t>
  </si>
  <si>
    <t>Services autres secteurs</t>
  </si>
  <si>
    <t>Réseau national d'observation stations agro mto</t>
  </si>
  <si>
    <t>Réseau national d'observation mini stations agro mto</t>
  </si>
  <si>
    <t>Véhicules</t>
  </si>
  <si>
    <t>Renforcement institutionnel</t>
  </si>
  <si>
    <t>Formation communautaire et simulations sur l'utilisation des produits et le renforcement de la capacité d'intervention</t>
  </si>
  <si>
    <t>Renforcer l'engagement citoyen et le suivi de la satisfaction des utilisateurs finaux, sur la base d'enquêtes sur les besoins et de mécanismes permettant des retours d'utilisateurs sur les services</t>
  </si>
  <si>
    <t>Besoins OP TEC</t>
  </si>
  <si>
    <t>Besoins OP RH</t>
  </si>
  <si>
    <t>Salaires totaux</t>
  </si>
  <si>
    <t>Personnel</t>
  </si>
  <si>
    <t>Salaires</t>
  </si>
  <si>
    <t>Nombre total</t>
  </si>
  <si>
    <t>Nombre lié au projet</t>
  </si>
  <si>
    <t>TOTAL INVEST</t>
  </si>
  <si>
    <t>Challenge</t>
  </si>
  <si>
    <t>Site Web et applications mobile pour secteurs pro (marine, inondation, ...)</t>
  </si>
  <si>
    <t>Postes de travail du prévisionniste</t>
  </si>
  <si>
    <t>Formation diplômante (incluant l'agrométéorologie et la gestion du risque inondation)</t>
  </si>
  <si>
    <t>Services agroclimatiques</t>
  </si>
  <si>
    <t>Embauches projet</t>
  </si>
  <si>
    <t>Réhabilitation des bâtiments à Moroni</t>
  </si>
  <si>
    <t>Batiment pour Anjouan &amp; Moheli (PNUD)</t>
  </si>
  <si>
    <t>Budget
2021</t>
  </si>
  <si>
    <t>Budget
2023</t>
  </si>
  <si>
    <t>Budget
2024</t>
  </si>
  <si>
    <t>Budget
2025</t>
  </si>
  <si>
    <t>Réseau national d'observation synop (PNUD)</t>
  </si>
  <si>
    <t xml:space="preserve">Réseau pluvio risque d'inondation </t>
  </si>
  <si>
    <t>Formation générale (incluant l'agrométéorologie et la gestion du risque inondation)</t>
  </si>
  <si>
    <t>Fourniture de services (informations et alertes) directement aux bénéficiaires (y compris avec les opérateurs de téléphonie mobile ou autres)</t>
  </si>
  <si>
    <t>Système de radiosondage  et Générateur d'Hydrogène Agalega, et Saint Brandon et st Rodrigue</t>
  </si>
  <si>
    <t>Réseau national d'observation synop aws</t>
  </si>
  <si>
    <t>Réseau foudre station Rodrigue</t>
  </si>
  <si>
    <t>Collecte de Données: connectés 30 AWS</t>
  </si>
  <si>
    <t>Réseau pluvio risque d'inondation Port Louis, Cottage</t>
  </si>
  <si>
    <t>Outil de climatologie - CDMS</t>
  </si>
  <si>
    <t>Wave radar hauteur vague Maurice Nord, Rodrigue Nord et Agalega</t>
  </si>
  <si>
    <t>Extension des bâtiments financé par gvnt</t>
  </si>
  <si>
    <t>AMSS</t>
  </si>
  <si>
    <t>Modèles pour urgences (hydraulique urbaine avec NDRRMC, …)</t>
  </si>
  <si>
    <t>Operations &amp; Maintenance</t>
  </si>
  <si>
    <t>TOTAL PROJET</t>
  </si>
  <si>
    <t>Opérations Post Projet par an</t>
  </si>
  <si>
    <t>AFD</t>
  </si>
  <si>
    <t>USD</t>
  </si>
  <si>
    <t>Dimensionnement quantité</t>
  </si>
  <si>
    <t>Fin.
AFD, EU, GCF, GVNT</t>
  </si>
  <si>
    <t>Durée de vie (an)</t>
  </si>
  <si>
    <t>Composant 1</t>
  </si>
  <si>
    <t>Composant 2</t>
  </si>
  <si>
    <t>Composant 3</t>
  </si>
  <si>
    <t>Composant 7</t>
  </si>
  <si>
    <t>Total composante 1</t>
  </si>
  <si>
    <t>Total composante 2</t>
  </si>
  <si>
    <t>Total composante 3</t>
  </si>
  <si>
    <t>Total composante 4</t>
  </si>
  <si>
    <t>Total composante 5</t>
  </si>
  <si>
    <t>Total composantes 1 à 5</t>
  </si>
  <si>
    <t>Total composante 6</t>
  </si>
  <si>
    <t>Total composantes 1 à 6</t>
  </si>
  <si>
    <t>Total composante 7</t>
  </si>
  <si>
    <t>Total des besoins opérationnels sur toute la durée de vie du projet</t>
  </si>
  <si>
    <t>EU</t>
  </si>
  <si>
    <t>GCF</t>
  </si>
  <si>
    <t>Réhabilitation des bâtiments (PNUD)</t>
  </si>
  <si>
    <t>Modèles pour urgences (pollution atmo, marine, sécuirté alimentaire)</t>
  </si>
  <si>
    <t>GVNT</t>
  </si>
  <si>
    <t>Radar doppler Rodrigue</t>
  </si>
  <si>
    <t>Nouveau Batiment</t>
  </si>
  <si>
    <t>O&amp;M</t>
  </si>
  <si>
    <t>Project Management</t>
  </si>
  <si>
    <t>Development of a regional climate services strategy (to serve a broad guidelines to national strategies)</t>
  </si>
  <si>
    <t>Regional Institutional strengthening</t>
  </si>
  <si>
    <t>Maintenance workshop design</t>
  </si>
  <si>
    <t>Regional Numerical Weather Prediction design</t>
  </si>
  <si>
    <t>Establishment of a Regional User Interface Platform strategy</t>
  </si>
  <si>
    <t>Training Center equipment</t>
  </si>
  <si>
    <t>Regional Maintenance workshop</t>
  </si>
  <si>
    <t>Design and set-up of digital platform to disseminate end-user’ services</t>
  </si>
  <si>
    <t>Strengthen SWICOF organization</t>
  </si>
  <si>
    <t>Design a strategy to ensure continuation of SWIOCOF beyond project’s lifetime</t>
  </si>
  <si>
    <t>Services tourisme</t>
  </si>
  <si>
    <t>Echelles limnimétriques</t>
  </si>
  <si>
    <t>Limnigraphes électronique</t>
  </si>
  <si>
    <t>ADCP</t>
  </si>
  <si>
    <t>Moulinets</t>
  </si>
  <si>
    <t>Bateaux gonflables</t>
  </si>
  <si>
    <t>Hydrochimie</t>
  </si>
  <si>
    <t>Mesures piezomètriques</t>
  </si>
  <si>
    <t>Components</t>
  </si>
  <si>
    <t>Outputs</t>
  </si>
  <si>
    <t>Activities</t>
  </si>
  <si>
    <t xml:space="preserve">GCF </t>
  </si>
  <si>
    <t xml:space="preserve">AFD </t>
  </si>
  <si>
    <t>1. Capacity building, institutional development and regional cooperation</t>
  </si>
  <si>
    <t xml:space="preserve">1.1.4 Prepare a strategy to improve Regional Numerical Weather Prediction </t>
  </si>
  <si>
    <t xml:space="preserve">1.4 Detailed Design, technical specification, system integration and tendering process of Project Activities </t>
  </si>
  <si>
    <r>
      <t>2. Improved monitoring, risk analyses and forecasting</t>
    </r>
    <r>
      <rPr>
        <sz val="9"/>
        <color theme="1"/>
        <rFont val="Arial"/>
        <family val="2"/>
      </rPr>
      <t xml:space="preserve"> </t>
    </r>
  </si>
  <si>
    <t xml:space="preserve">2.1 Enhanced hydro-meteorological observing, monitoring, and impact forecasting services </t>
  </si>
  <si>
    <t xml:space="preserve">2.1.1 Modernise/upgrade climate observation and monitoring network  </t>
  </si>
  <si>
    <t xml:space="preserve">2.1.2 Modernise/upgrade information system for telecom, forecast, climatology </t>
  </si>
  <si>
    <t xml:space="preserve">2.2 Regional facilities for maintenance and training established </t>
  </si>
  <si>
    <t>2.2.2 Refurbish regional training centre of Mauritius to train observers and forecasters</t>
  </si>
  <si>
    <t>2.3 R&amp;D capacities enhanced to improve understanding of climate and disaster risks on communities and sectors</t>
  </si>
  <si>
    <t>3.Strengthened climate services delivery and early warning systems at national and regional level</t>
  </si>
  <si>
    <t>4. Project management</t>
  </si>
  <si>
    <t>4.1 Project management</t>
  </si>
  <si>
    <t>4.1.1 Project management</t>
  </si>
  <si>
    <t>4.2 O&amp;M</t>
  </si>
  <si>
    <t>4.1.1 O&amp;M</t>
  </si>
  <si>
    <t>1.1.1</t>
  </si>
  <si>
    <t>1.1.2</t>
  </si>
  <si>
    <t>1.1.3</t>
  </si>
  <si>
    <t>1.1.4</t>
  </si>
  <si>
    <t>1.1.5</t>
  </si>
  <si>
    <t>3.2.1</t>
  </si>
  <si>
    <t>3.2.2</t>
  </si>
  <si>
    <t>2.2.1</t>
  </si>
  <si>
    <t>2.2.2</t>
  </si>
  <si>
    <t>2.3.1</t>
  </si>
  <si>
    <t>3.3.3</t>
  </si>
  <si>
    <t>3.3.2</t>
  </si>
  <si>
    <t>2.1.1</t>
  </si>
  <si>
    <t>2.1.2</t>
  </si>
  <si>
    <t>3.1.1</t>
  </si>
  <si>
    <t>3.1.2</t>
  </si>
  <si>
    <t>3.1.3</t>
  </si>
  <si>
    <t>2.3.3</t>
  </si>
  <si>
    <t>2.3.2</t>
  </si>
  <si>
    <t>1.2.1</t>
  </si>
  <si>
    <t>1.2.2</t>
  </si>
  <si>
    <t>1.4.2</t>
  </si>
  <si>
    <t>3.3.1</t>
  </si>
  <si>
    <t>Develop and implement a plan to strengthen institutional settings of NHMSs</t>
  </si>
  <si>
    <t>Detailed design study</t>
  </si>
  <si>
    <t>Develop a business plan</t>
  </si>
  <si>
    <t>Develop a transiton support plan</t>
  </si>
  <si>
    <t>1.4.1</t>
  </si>
  <si>
    <t>1.3.1</t>
  </si>
  <si>
    <t>1.3.2</t>
  </si>
  <si>
    <t>1.3.3</t>
  </si>
  <si>
    <t>1.3.4</t>
  </si>
  <si>
    <t>Develop and support implementation of NFCS</t>
  </si>
  <si>
    <t>Formation continue (incluant l'agrométéorologie et la gestion du risque inondation)</t>
  </si>
  <si>
    <t>Training of NMHS'staff to raise understanding of risk exposure for communities and sectors based on climate forecasts provided</t>
  </si>
  <si>
    <t>Training center design</t>
  </si>
  <si>
    <t>Develop Project/Funding Proposals</t>
  </si>
  <si>
    <t>)</t>
  </si>
  <si>
    <t>AFD 5M€</t>
  </si>
  <si>
    <t>com</t>
  </si>
  <si>
    <t>mad</t>
  </si>
  <si>
    <t>sey</t>
  </si>
  <si>
    <t>mau</t>
  </si>
  <si>
    <t>reg</t>
  </si>
  <si>
    <t>tot</t>
  </si>
  <si>
    <t>afd</t>
  </si>
  <si>
    <t>eu</t>
  </si>
  <si>
    <t>gcf</t>
  </si>
  <si>
    <t>gvnt</t>
  </si>
  <si>
    <t>1.1 A Regional Climate Centre and frameworks for Climate Services (CS) established in the SWIO region</t>
  </si>
  <si>
    <t>1.2 Institutional arrangements and operational strategy of national met. services strengthened</t>
  </si>
  <si>
    <t xml:space="preserve">1.3 Improved staffing of the RCC and national met. services </t>
  </si>
  <si>
    <t xml:space="preserve">1.3.1 Recruit new staff members for the RCC and meteorological services </t>
  </si>
  <si>
    <t>2.3.3 Organise training on hydrologic modelling for flood prevision (i.e. flood propagation model)</t>
  </si>
  <si>
    <t>2.3.4 Organise training to produce seasonal agrometeorological bulletins downscaled at national, regional and local level (if possible)</t>
  </si>
  <si>
    <t xml:space="preserve">2.3.5 Develop hazards maps (cartes d’aléas) </t>
  </si>
  <si>
    <t xml:space="preserve">3.3.4 Support SWIOCOF to ensure the active participation of climate services users </t>
  </si>
  <si>
    <t xml:space="preserve">3.3.3 Strengthen the User Interface Platform (UIP) </t>
  </si>
  <si>
    <t>3.3 Training and improved communication with users and end-users of CS established</t>
  </si>
  <si>
    <t xml:space="preserve">3.2 Short- and long-term risk reduction and adaptation plans improved or developed based on high quality climate data, risk/vulnerability assessments and climate change projections (produced under Outcome 2)  </t>
  </si>
  <si>
    <t>3.1 Production and dissemination of immediate CS improved at regional and national level</t>
  </si>
  <si>
    <t>1.1.1 Develop regional and national frameworks for climate services (RFCS &amp; NFCS)</t>
  </si>
  <si>
    <t>1.1.2 Design the legal, institutional, financial and organisational strategy to establish the RCC within IOC</t>
  </si>
  <si>
    <t>1.1.3 Design the strategy of the regional lab for maintenance and annual calibration of equipment, and the strategy of the regional training lab (both labs will be set up under Output 2.2)</t>
  </si>
  <si>
    <t>Develop training and recruiting plan</t>
  </si>
  <si>
    <t>1.3.2 Train/update training for new/existing staff</t>
  </si>
  <si>
    <t>2.3.6 Develop climate vulnerability maps based on the climate hazard maps</t>
  </si>
  <si>
    <t>Equipment</t>
  </si>
  <si>
    <t>Organise training to improve downscaling of meteorological data</t>
  </si>
  <si>
    <t>Organise training on hydrologic modelling for flood prevision (i.e. flood propagation model)</t>
  </si>
  <si>
    <t>Organise training to produce seasonal agrometeorological bulletins downscaled at national, regional and local level (if possible)</t>
  </si>
  <si>
    <t xml:space="preserve">Organise training and R&amp;D activities on climate modelling capacity </t>
  </si>
  <si>
    <t>2.3.4</t>
  </si>
  <si>
    <t xml:space="preserve">2.3.2 Organise training and R&amp;D activities on climate modelling capacity   </t>
  </si>
  <si>
    <t xml:space="preserve">3.2.1 Improve data sharing and coordination with emergency response plans for on-the-ground interventions at national and local levels </t>
  </si>
  <si>
    <t>Design and implement data sharing strategy with main stakeholders</t>
  </si>
  <si>
    <t>Produce and/or update long term climate change adaptation plans responding to the needs of each country</t>
  </si>
  <si>
    <t>3.3.1 Train staff members of NHMS and in the RCC on how to package climate-related information in a user-friendly way</t>
  </si>
  <si>
    <t xml:space="preserve">3.3.2 Train knowledge brokers – including NGOs, red crescent/cross, local leaders and extension officers – and representatives of sectors in the GFCS areas (public and private organisations) on how to interpret and use CS for decision-making </t>
  </si>
  <si>
    <t>Bouée hauteur vague - océano</t>
  </si>
  <si>
    <t>Système automatique d'observation aéroport (Anjouan - Moheli)</t>
  </si>
  <si>
    <t>Réseau national d'observation synop</t>
  </si>
  <si>
    <t>Système automatique d'observation aéroport - Praslin</t>
  </si>
  <si>
    <t>Formation continue (incluant l'agrométéorologie et l'hydrometeo a gestion du risque inondation)</t>
  </si>
  <si>
    <t>Hydrochimie (WRU)</t>
  </si>
  <si>
    <t>Extension du système de production d'alertes et produits réseaux sociaux - remontée terrain</t>
  </si>
  <si>
    <t>Develop and implement a plan to strengthen institutional settings of NHMSs (autonomie DMN)</t>
  </si>
  <si>
    <t>Fourniture de services (informations et alertes) directement aux bénéficiaires (y compris avec les opérateurs de téléphonie mobile ou autres) intégrer Securité Civile</t>
  </si>
  <si>
    <t>Réseau foudre</t>
  </si>
  <si>
    <t>Tour radar - autre partenaire</t>
  </si>
  <si>
    <t>Laboratoire hydro, petit matériel</t>
  </si>
  <si>
    <t>Marégraphe  - agalega st brandon</t>
  </si>
  <si>
    <t>Prévision crues</t>
  </si>
  <si>
    <t>Pollution marine (dispersion polluant)</t>
  </si>
  <si>
    <t>Erosion côtière</t>
  </si>
  <si>
    <t>Sécurité alimentaire</t>
  </si>
  <si>
    <t>Regional Project Coordinator @US$18000 per months for 60 months</t>
  </si>
  <si>
    <t>National Project Coordinator Madagascar @US2000 per month for 60 months</t>
  </si>
  <si>
    <t>National Project Coordinator Comoros @US2000 per month for 60 months</t>
  </si>
  <si>
    <t>National Project Coordinator Seychelles @US2000 per month for 60 months</t>
  </si>
  <si>
    <t>National Project Coordinator Mauritius @US2000 per month for 60 months</t>
  </si>
  <si>
    <t>Environmental &amp; social officer (1 regional + punctual national expertise): regional expert for 4,5 months input @usd 3,000/month + 4 national expertise for 4,5 months in each country @usd 2,000/month</t>
  </si>
  <si>
    <t>Financial officer @$2000 per month for 60 months</t>
  </si>
  <si>
    <t>Administrative officer @$1500 per month for 60 months</t>
  </si>
  <si>
    <t>Communication officer @$1500 per month for 30 months</t>
  </si>
  <si>
    <t>Hydromet expert (technical) @3000 per month for 30 months (part time)</t>
  </si>
  <si>
    <t>External expert pool to review CV/technical proposal submitted in response to call for application (to be contracted as external by IOC - lumpsum available)</t>
  </si>
  <si>
    <t>Office equipment (5 laptops, 1 printer to rent)</t>
  </si>
  <si>
    <t>PMU running costs (frais electricte, internet, locaux, etc.) + audit</t>
  </si>
  <si>
    <t xml:space="preserve">Travel to project sites for RPC </t>
  </si>
  <si>
    <t>Project Steering Committee organisation cost per year (including transport and per diem for participant approx. 20pax)</t>
  </si>
  <si>
    <t>National Project Steering Committee organisation cost per year (no cost expect when local travel needed e.g. Mada and Comoros)</t>
  </si>
  <si>
    <t>ALL</t>
  </si>
  <si>
    <t>AFD-GCF</t>
  </si>
  <si>
    <t>Input Description</t>
  </si>
  <si>
    <t>Line Item</t>
  </si>
  <si>
    <t># of items</t>
  </si>
  <si>
    <t>Unit</t>
  </si>
  <si>
    <t>Cost per item</t>
  </si>
  <si>
    <t>Total cost</t>
  </si>
  <si>
    <t>Year 1</t>
  </si>
  <si>
    <t>Year 2</t>
  </si>
  <si>
    <t>Year 3</t>
  </si>
  <si>
    <t>Year 4</t>
  </si>
  <si>
    <t>Year 5</t>
  </si>
  <si>
    <t>Total verif</t>
  </si>
  <si>
    <t>1. PMU staff</t>
  </si>
  <si>
    <t>RPC</t>
  </si>
  <si>
    <t>month</t>
  </si>
  <si>
    <t>NPC Mada</t>
  </si>
  <si>
    <t>NPC Comoros</t>
  </si>
  <si>
    <t>NPC Seychelles</t>
  </si>
  <si>
    <t>NPC Mauritius</t>
  </si>
  <si>
    <t>E&amp;SO</t>
  </si>
  <si>
    <t>Finacial office</t>
  </si>
  <si>
    <t>Administrative officer</t>
  </si>
  <si>
    <t>Communication officer</t>
  </si>
  <si>
    <t>Hydromet expert</t>
  </si>
  <si>
    <t>Technical expert pool</t>
  </si>
  <si>
    <t>lumpsum</t>
  </si>
  <si>
    <t>2. Set-up and running costs including travel</t>
  </si>
  <si>
    <t>Office equipment</t>
  </si>
  <si>
    <t>Frais COI</t>
  </si>
  <si>
    <t>frais</t>
  </si>
  <si>
    <t>Travel to project sites for RPC and 1 other PMU staff member</t>
  </si>
  <si>
    <t>Travel</t>
  </si>
  <si>
    <t>year</t>
  </si>
  <si>
    <t>3. Project Steering Committee meetings and audits</t>
  </si>
  <si>
    <t>PSC</t>
  </si>
  <si>
    <t>NSC</t>
  </si>
  <si>
    <t>Total (US$)</t>
  </si>
  <si>
    <t>R&amp;D</t>
  </si>
  <si>
    <t>Assistance Technique</t>
  </si>
  <si>
    <t>Sub-total</t>
  </si>
  <si>
    <t>Conduct baseline study on CP-CS use</t>
  </si>
  <si>
    <t>1.4.2. Produce a detailed design and system integration for each met service</t>
  </si>
  <si>
    <t xml:space="preserve">1.4.3 Ensure full system integration from observation stations to delivery of CP-CS to end-user </t>
  </si>
  <si>
    <t>Total</t>
  </si>
  <si>
    <t>1.4.1. Conduct baseline studies on CP-CS use in each beneficiary countries</t>
  </si>
  <si>
    <t>2.2.1 Establish a maintenance and calibration laboratory</t>
  </si>
  <si>
    <t>3.1.2 Set up protocols to strengthen early warning dissemination for key sectors and among the general public</t>
  </si>
  <si>
    <t>3.2.2 Update long term climate change adaptation plans responding to the needs of each country</t>
  </si>
  <si>
    <t>Sub-total Component 1</t>
  </si>
  <si>
    <t>Sub-total Component 2</t>
  </si>
  <si>
    <t xml:space="preserve">2.3.1 Organise training to improve downscaling of meteorological data and impact-based forecasts </t>
  </si>
  <si>
    <t xml:space="preserve">3.1.1 Set up protocols to produce and deliver improved thdaily weather bulletin, impact-based forecasts, seasonal forecasts, and agricultural advisories </t>
  </si>
  <si>
    <t>Support Technique RH</t>
  </si>
  <si>
    <t>Support Technique Matériel</t>
  </si>
  <si>
    <t>-        </t>
  </si>
  <si>
    <t>Sub-total Component 3</t>
  </si>
  <si>
    <t>1.2.1 Strengthen the institutional, operational and financial strategy of NHMSs for each target country</t>
  </si>
  <si>
    <t>1.2.2  Design the transition support plan of each NHMS, DRR institutions and relevant sectoral ministries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</si>
</sst>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00_);_(&quot;$&quot;* \(#,##0.00\);_(&quot;$&quot;* &quot;-&quot;??_);_(@_)"/>
    <numFmt numFmtId="165" formatCode="_(* #,##0.00_);_(* \(#,##0.00\);_(* &quot;-&quot;??_);_(@_)"/>
    <numFmt numFmtId="166" formatCode="_-* #,##0.00\ _€_-;\-* #,##0.00\ _€_-;_-* &quot;-&quot;??\ _€_-;_-@_-"/>
    <numFmt numFmtId="167" formatCode="_-* #,##0\ [$€-40C]_-;\-* #,##0\ [$€-40C]_-;_-* &quot;-&quot;??\ [$€-40C]_-;_-@_-"/>
    <numFmt numFmtId="168" formatCode="_(* #,##0_);_(* \(#,##0\);_(* &quot;-&quot;??_);_(@_)"/>
    <numFmt numFmtId="169" formatCode="_([$$-409]* #,##0.00_);_([$$-409]* \(#,##0.00\);_([$$-409]* &quot;-&quot;??_);_(@_)"/>
    <numFmt numFmtId="170" formatCode="_([$$-409]* #,##0_);_([$$-409]* \(#,##0\);_([$$-409]* &quot;-&quot;??_);_(@_)"/>
    <numFmt numFmtId="171" formatCode="_(&quot;$&quot;* #,##0_);_(&quot;$&quot;* \(#,##0\);_(&quot;$&quot;* &quot;-&quot;??_);_(@_)"/>
    <numFmt numFmtId="172" formatCode="_-[$$-409]* #,##0.00_ ;_-[$$-409]* \-#,##0.00\ ;_-[$$-409]* &quot;-&quot;??_ ;_-@_ "/>
  </numFmts>
  <fonts count="26"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11"/>
      <name val="Calibri"/>
      <family val="2"/>
      <scheme val="minor"/>
    </font>
    <font>
      <b/>
      <sz val="11"/>
      <name val="Calibri"/>
      <family val="2"/>
      <scheme val="minor"/>
    </font>
    <font>
      <sz val="9"/>
      <color indexed="81"/>
      <name val="Tahoma"/>
      <family val="2"/>
    </font>
    <font>
      <b/>
      <sz val="9"/>
      <color indexed="81"/>
      <name val="Tahoma"/>
      <family val="2"/>
    </font>
    <font>
      <sz val="8"/>
      <name val="Calibri"/>
      <family val="2"/>
      <scheme val="minor"/>
    </font>
    <font>
      <b/>
      <sz val="11"/>
      <color theme="0"/>
      <name val="Calibri"/>
      <family val="2"/>
      <scheme val="minor"/>
    </font>
    <font>
      <sz val="11"/>
      <color theme="0"/>
      <name val="Calibri"/>
      <family val="2"/>
      <scheme val="minor"/>
    </font>
    <font>
      <sz val="11"/>
      <color rgb="FFFF0000"/>
      <name val="Calibri"/>
      <family val="2"/>
      <scheme val="minor"/>
    </font>
    <font>
      <b/>
      <sz val="11"/>
      <color theme="1"/>
      <name val="Calibri"/>
      <family val="2"/>
      <scheme val="minor"/>
    </font>
    <font>
      <sz val="9"/>
      <color theme="1"/>
      <name val="Arial"/>
      <family val="2"/>
    </font>
    <font>
      <b/>
      <sz val="9"/>
      <color theme="1"/>
      <name val="Arial"/>
      <family val="2"/>
    </font>
    <font>
      <sz val="9"/>
      <name val="Arial"/>
      <family val="2"/>
    </font>
    <font>
      <b/>
      <sz val="12"/>
      <color theme="0"/>
      <name val="Calibri"/>
      <family val="2"/>
      <scheme val="minor"/>
    </font>
    <font>
      <sz val="12"/>
      <color rgb="FFFF0000"/>
      <name val="Calibri"/>
      <family val="2"/>
      <scheme val="minor"/>
    </font>
    <font>
      <b/>
      <i/>
      <sz val="10"/>
      <color theme="1"/>
      <name val="Calibri"/>
      <family val="2"/>
      <scheme val="minor"/>
    </font>
    <font>
      <b/>
      <i/>
      <sz val="10"/>
      <color theme="0"/>
      <name val="Calibri"/>
      <family val="2"/>
      <scheme val="minor"/>
    </font>
    <font>
      <i/>
      <sz val="10"/>
      <color theme="1"/>
      <name val="Calibri"/>
      <family val="2"/>
      <scheme val="minor"/>
    </font>
    <font>
      <sz val="11"/>
      <color rgb="FF000000"/>
      <name val="Calibri"/>
      <family val="2"/>
      <scheme val="minor"/>
    </font>
    <font>
      <sz val="12"/>
      <color rgb="FF000000"/>
      <name val="Calibri"/>
      <family val="2"/>
    </font>
    <font>
      <b/>
      <sz val="9"/>
      <name val="Arial"/>
      <family val="2"/>
    </font>
    <font>
      <sz val="9"/>
      <color theme="0"/>
      <name val="Arial"/>
      <family val="2"/>
    </font>
    <font>
      <b/>
      <sz val="9"/>
      <color theme="0"/>
      <name val="Arial"/>
      <family val="2"/>
    </font>
  </fonts>
  <fills count="23">
    <fill>
      <patternFill patternType="none"/>
    </fill>
    <fill>
      <patternFill patternType="gray125"/>
    </fill>
    <fill>
      <patternFill patternType="solid">
        <fgColor theme="2"/>
        <bgColor indexed="64"/>
      </patternFill>
    </fill>
    <fill>
      <patternFill patternType="solid">
        <fgColor rgb="FFFF0000"/>
        <bgColor indexed="64"/>
      </patternFill>
    </fill>
    <fill>
      <patternFill patternType="solid">
        <fgColor theme="8"/>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1" tint="0.249977111117893"/>
        <bgColor indexed="64"/>
      </patternFill>
    </fill>
    <fill>
      <patternFill patternType="solid">
        <fgColor theme="4"/>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style="thick">
        <color indexed="64"/>
      </left>
      <right/>
      <top style="thick">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Dashed">
        <color indexed="64"/>
      </left>
      <right style="mediumDashed">
        <color indexed="64"/>
      </right>
      <top style="medium">
        <color indexed="64"/>
      </top>
      <bottom style="medium">
        <color indexed="64"/>
      </bottom>
      <diagonal/>
    </border>
  </borders>
  <cellStyleXfs count="8">
    <xf numFmtId="0" fontId="0" fillId="0" borderId="0"/>
    <xf numFmtId="0" fontId="2" fillId="0" borderId="0"/>
    <xf numFmtId="165" fontId="2"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289">
    <xf numFmtId="0" fontId="0" fillId="0" borderId="0" xfId="0"/>
    <xf numFmtId="0" fontId="4" fillId="0" borderId="0" xfId="0" applyFont="1"/>
    <xf numFmtId="0" fontId="4" fillId="0" borderId="0" xfId="0" applyFont="1" applyFill="1"/>
    <xf numFmtId="167" fontId="4" fillId="0" borderId="0" xfId="0" applyNumberFormat="1" applyFont="1" applyFill="1" applyBorder="1"/>
    <xf numFmtId="0" fontId="4" fillId="0" borderId="0" xfId="3" applyNumberFormat="1" applyFont="1" applyFill="1" applyBorder="1" applyAlignment="1">
      <alignment horizontal="center" vertical="center" wrapText="1"/>
    </xf>
    <xf numFmtId="0" fontId="4" fillId="0" borderId="0" xfId="3"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textRotation="90" wrapText="1"/>
    </xf>
    <xf numFmtId="0" fontId="4" fillId="0" borderId="0" xfId="0" applyFont="1" applyFill="1" applyBorder="1"/>
    <xf numFmtId="167" fontId="4" fillId="0" borderId="1" xfId="4" applyNumberFormat="1" applyFont="1" applyFill="1" applyBorder="1" applyAlignment="1">
      <alignment horizontal="left" vertical="center" wrapText="1"/>
    </xf>
    <xf numFmtId="0" fontId="4" fillId="0" borderId="0" xfId="0" applyFont="1" applyBorder="1"/>
    <xf numFmtId="0" fontId="4" fillId="0" borderId="0" xfId="0" applyFont="1" applyFill="1" applyBorder="1" applyAlignment="1">
      <alignment horizontal="center" vertical="center"/>
    </xf>
    <xf numFmtId="9" fontId="4" fillId="0" borderId="0" xfId="4" applyFont="1" applyFill="1" applyBorder="1" applyAlignment="1">
      <alignment horizontal="center" vertical="center"/>
    </xf>
    <xf numFmtId="1" fontId="4" fillId="0" borderId="0" xfId="4" applyNumberFormat="1" applyFont="1" applyFill="1" applyBorder="1" applyAlignment="1">
      <alignment horizontal="center" vertical="center"/>
    </xf>
    <xf numFmtId="167" fontId="5" fillId="2" borderId="2" xfId="0" applyNumberFormat="1" applyFont="1" applyFill="1" applyBorder="1" applyAlignment="1">
      <alignment horizontal="center" vertical="center"/>
    </xf>
    <xf numFmtId="0" fontId="4" fillId="0" borderId="0" xfId="0" applyFont="1" applyFill="1" applyBorder="1" applyAlignment="1">
      <alignment vertical="center" textRotation="90" wrapText="1"/>
    </xf>
    <xf numFmtId="0" fontId="4" fillId="0" borderId="12" xfId="0" applyFont="1" applyFill="1" applyBorder="1" applyAlignment="1">
      <alignment horizontal="left" vertical="center" wrapText="1"/>
    </xf>
    <xf numFmtId="167" fontId="4" fillId="0" borderId="12" xfId="4" applyNumberFormat="1" applyFont="1" applyFill="1" applyBorder="1" applyAlignment="1">
      <alignment horizontal="left" vertical="center" wrapText="1"/>
    </xf>
    <xf numFmtId="0" fontId="4" fillId="0" borderId="2" xfId="0" applyFont="1" applyFill="1" applyBorder="1" applyAlignment="1">
      <alignment horizontal="center" vertical="center" wrapText="1"/>
    </xf>
    <xf numFmtId="167" fontId="4" fillId="0" borderId="24" xfId="3" applyNumberFormat="1" applyFont="1" applyFill="1" applyBorder="1" applyAlignment="1">
      <alignment horizontal="center" vertical="center" wrapText="1"/>
    </xf>
    <xf numFmtId="167" fontId="4" fillId="0" borderId="10" xfId="4" applyNumberFormat="1" applyFont="1" applyFill="1" applyBorder="1" applyAlignment="1">
      <alignment horizontal="left" vertical="center" wrapText="1"/>
    </xf>
    <xf numFmtId="167" fontId="4" fillId="0" borderId="11" xfId="4" applyNumberFormat="1" applyFont="1" applyFill="1" applyBorder="1" applyAlignment="1">
      <alignment horizontal="left" vertical="center" wrapText="1"/>
    </xf>
    <xf numFmtId="167" fontId="4" fillId="0" borderId="20" xfId="4" applyNumberFormat="1" applyFont="1" applyFill="1" applyBorder="1" applyAlignment="1">
      <alignment horizontal="left" vertical="center" wrapText="1"/>
    </xf>
    <xf numFmtId="0" fontId="4" fillId="0" borderId="0" xfId="0" applyFont="1" applyBorder="1" applyAlignment="1">
      <alignment horizontal="center" vertical="center"/>
    </xf>
    <xf numFmtId="0" fontId="4" fillId="0" borderId="1" xfId="0" applyFont="1" applyBorder="1"/>
    <xf numFmtId="167" fontId="4" fillId="0" borderId="1" xfId="0" applyNumberFormat="1" applyFont="1" applyBorder="1"/>
    <xf numFmtId="167" fontId="4" fillId="0" borderId="19" xfId="0" applyNumberFormat="1" applyFont="1" applyBorder="1"/>
    <xf numFmtId="0" fontId="4" fillId="0" borderId="12" xfId="0" applyFont="1" applyBorder="1"/>
    <xf numFmtId="167" fontId="4" fillId="0" borderId="8" xfId="0" applyNumberFormat="1" applyFont="1" applyBorder="1"/>
    <xf numFmtId="0" fontId="4" fillId="0" borderId="8" xfId="0" applyFont="1" applyBorder="1"/>
    <xf numFmtId="0" fontId="4" fillId="0" borderId="23" xfId="0" applyFont="1" applyBorder="1"/>
    <xf numFmtId="168" fontId="4" fillId="0" borderId="1" xfId="6" applyNumberFormat="1" applyFont="1" applyFill="1" applyBorder="1" applyAlignment="1">
      <alignment horizontal="center" vertical="center"/>
    </xf>
    <xf numFmtId="168" fontId="4" fillId="0" borderId="1" xfId="6" applyNumberFormat="1" applyFont="1" applyFill="1" applyBorder="1" applyAlignment="1">
      <alignment horizontal="center" vertical="center" wrapText="1"/>
    </xf>
    <xf numFmtId="0" fontId="4" fillId="0" borderId="10" xfId="0" applyFont="1" applyBorder="1" applyAlignment="1">
      <alignment vertical="center"/>
    </xf>
    <xf numFmtId="167" fontId="4" fillId="3" borderId="1" xfId="0" applyNumberFormat="1" applyFont="1" applyFill="1" applyBorder="1"/>
    <xf numFmtId="169" fontId="4" fillId="0" borderId="0" xfId="0" applyNumberFormat="1" applyFont="1" applyFill="1"/>
    <xf numFmtId="169" fontId="4" fillId="0" borderId="0" xfId="0" applyNumberFormat="1" applyFont="1" applyFill="1" applyBorder="1"/>
    <xf numFmtId="169" fontId="4" fillId="0" borderId="0" xfId="0" applyNumberFormat="1" applyFont="1" applyFill="1" applyBorder="1" applyAlignment="1">
      <alignment horizontal="center" vertical="center"/>
    </xf>
    <xf numFmtId="164" fontId="4" fillId="0" borderId="0" xfId="7" applyFont="1" applyFill="1" applyBorder="1" applyAlignment="1">
      <alignment horizontal="left" vertical="center" wrapText="1"/>
    </xf>
    <xf numFmtId="164" fontId="4" fillId="0" borderId="0" xfId="7" quotePrefix="1" applyFont="1" applyFill="1" applyBorder="1" applyAlignment="1">
      <alignment horizontal="left" vertical="center" wrapText="1" indent="1"/>
    </xf>
    <xf numFmtId="164" fontId="4" fillId="0" borderId="0" xfId="7" applyFont="1" applyFill="1" applyBorder="1"/>
    <xf numFmtId="164" fontId="5" fillId="0" borderId="0" xfId="7" applyFont="1" applyFill="1" applyBorder="1" applyAlignment="1">
      <alignment horizontal="center" vertical="center"/>
    </xf>
    <xf numFmtId="0" fontId="4" fillId="0" borderId="24" xfId="0" applyFont="1" applyFill="1" applyBorder="1" applyAlignment="1">
      <alignment horizontal="center" vertical="center" wrapText="1"/>
    </xf>
    <xf numFmtId="0" fontId="4" fillId="0" borderId="36" xfId="0" applyFont="1" applyFill="1" applyBorder="1" applyAlignment="1">
      <alignment horizontal="center" vertical="center" wrapText="1"/>
    </xf>
    <xf numFmtId="170" fontId="4" fillId="0" borderId="0" xfId="0" applyNumberFormat="1" applyFont="1"/>
    <xf numFmtId="170" fontId="4" fillId="0" borderId="0" xfId="0" applyNumberFormat="1" applyFont="1" applyFill="1"/>
    <xf numFmtId="170" fontId="4" fillId="0" borderId="0" xfId="0" applyNumberFormat="1" applyFont="1" applyFill="1" applyBorder="1"/>
    <xf numFmtId="170" fontId="4" fillId="5" borderId="1" xfId="4" applyNumberFormat="1" applyFont="1" applyFill="1" applyBorder="1" applyAlignment="1">
      <alignment horizontal="left" vertical="center" wrapText="1"/>
    </xf>
    <xf numFmtId="170" fontId="4" fillId="5" borderId="12" xfId="4" applyNumberFormat="1" applyFont="1" applyFill="1" applyBorder="1" applyAlignment="1">
      <alignment horizontal="left" vertical="center" wrapText="1"/>
    </xf>
    <xf numFmtId="0" fontId="4" fillId="7" borderId="0" xfId="0" applyFont="1" applyFill="1" applyAlignment="1">
      <alignment horizontal="center"/>
    </xf>
    <xf numFmtId="2" fontId="4" fillId="8" borderId="1" xfId="3" applyNumberFormat="1" applyFont="1" applyFill="1" applyBorder="1" applyAlignment="1">
      <alignment horizontal="center" vertical="center" wrapText="1"/>
    </xf>
    <xf numFmtId="2" fontId="4" fillId="8" borderId="12" xfId="3" applyNumberFormat="1" applyFont="1" applyFill="1" applyBorder="1" applyAlignment="1">
      <alignment horizontal="center" vertical="center" wrapText="1"/>
    </xf>
    <xf numFmtId="0" fontId="10" fillId="7" borderId="0" xfId="0" applyFont="1" applyFill="1" applyAlignment="1">
      <alignment horizontal="left"/>
    </xf>
    <xf numFmtId="0" fontId="4" fillId="7" borderId="0" xfId="0" applyFont="1" applyFill="1" applyBorder="1" applyAlignment="1">
      <alignment horizontal="center"/>
    </xf>
    <xf numFmtId="0" fontId="4" fillId="7" borderId="0" xfId="0" applyFont="1" applyFill="1"/>
    <xf numFmtId="2" fontId="4" fillId="9" borderId="1" xfId="3" applyNumberFormat="1" applyFont="1" applyFill="1" applyBorder="1" applyAlignment="1">
      <alignment horizontal="center" vertical="center" wrapText="1"/>
    </xf>
    <xf numFmtId="2" fontId="4" fillId="9" borderId="12" xfId="3" applyNumberFormat="1" applyFont="1" applyFill="1" applyBorder="1" applyAlignment="1">
      <alignment horizontal="center" vertical="center" wrapText="1"/>
    </xf>
    <xf numFmtId="0" fontId="5" fillId="4" borderId="0" xfId="0" applyFont="1" applyFill="1" applyBorder="1" applyAlignment="1">
      <alignment horizontal="center" vertical="center"/>
    </xf>
    <xf numFmtId="170" fontId="4" fillId="11" borderId="10" xfId="4" applyNumberFormat="1" applyFont="1" applyFill="1" applyBorder="1" applyAlignment="1">
      <alignment horizontal="left" vertical="center" wrapText="1"/>
    </xf>
    <xf numFmtId="170" fontId="4" fillId="11" borderId="11" xfId="4" applyNumberFormat="1" applyFont="1" applyFill="1" applyBorder="1" applyAlignment="1">
      <alignment horizontal="left" vertical="center" wrapText="1"/>
    </xf>
    <xf numFmtId="168" fontId="5" fillId="11" borderId="2" xfId="6" applyNumberFormat="1" applyFont="1" applyFill="1" applyBorder="1" applyAlignment="1">
      <alignment horizontal="center" vertical="center"/>
    </xf>
    <xf numFmtId="0" fontId="9" fillId="10" borderId="3" xfId="0" applyFont="1" applyFill="1" applyBorder="1" applyAlignment="1">
      <alignment horizontal="center" vertical="center" wrapText="1"/>
    </xf>
    <xf numFmtId="170" fontId="9" fillId="10" borderId="1" xfId="4" applyNumberFormat="1" applyFont="1" applyFill="1" applyBorder="1" applyAlignment="1">
      <alignment horizontal="center" vertical="center" wrapText="1"/>
    </xf>
    <xf numFmtId="170" fontId="9" fillId="10" borderId="12" xfId="4" applyNumberFormat="1" applyFont="1" applyFill="1" applyBorder="1" applyAlignment="1">
      <alignment horizontal="center" vertical="center" wrapText="1"/>
    </xf>
    <xf numFmtId="170" fontId="4" fillId="12" borderId="1" xfId="0" applyNumberFormat="1" applyFont="1" applyFill="1" applyBorder="1" applyAlignment="1">
      <alignment horizontal="left" vertical="center" wrapText="1"/>
    </xf>
    <xf numFmtId="1" fontId="4" fillId="12" borderId="1" xfId="0" applyNumberFormat="1" applyFont="1" applyFill="1" applyBorder="1" applyAlignment="1">
      <alignment horizontal="center" vertical="center" wrapText="1"/>
    </xf>
    <xf numFmtId="170" fontId="4" fillId="12" borderId="12" xfId="0" applyNumberFormat="1" applyFont="1" applyFill="1" applyBorder="1" applyAlignment="1">
      <alignment horizontal="left" vertical="center" wrapText="1"/>
    </xf>
    <xf numFmtId="1" fontId="4" fillId="12" borderId="12" xfId="0" applyNumberFormat="1"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11" borderId="9" xfId="0" applyFont="1" applyFill="1" applyBorder="1" applyAlignment="1">
      <alignment horizontal="center" vertical="center"/>
    </xf>
    <xf numFmtId="0" fontId="5" fillId="0" borderId="0" xfId="0" applyFont="1"/>
    <xf numFmtId="0" fontId="9" fillId="7" borderId="3"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14" borderId="3" xfId="0" applyFont="1" applyFill="1" applyBorder="1" applyAlignment="1">
      <alignment horizontal="center" vertical="center" wrapText="1"/>
    </xf>
    <xf numFmtId="0" fontId="5" fillId="14" borderId="13" xfId="0" applyFont="1" applyFill="1" applyBorder="1" applyAlignment="1">
      <alignment horizontal="center" vertical="center" wrapText="1"/>
    </xf>
    <xf numFmtId="170" fontId="4" fillId="12" borderId="1" xfId="0" applyNumberFormat="1" applyFont="1" applyFill="1" applyBorder="1" applyAlignment="1">
      <alignment vertical="center" wrapText="1"/>
    </xf>
    <xf numFmtId="1" fontId="4" fillId="12" borderId="1" xfId="0" applyNumberFormat="1" applyFont="1" applyFill="1" applyBorder="1" applyAlignment="1">
      <alignment vertical="center" wrapText="1"/>
    </xf>
    <xf numFmtId="2" fontId="4" fillId="8" borderId="1" xfId="3" applyNumberFormat="1" applyFont="1" applyFill="1" applyBorder="1" applyAlignment="1">
      <alignment vertical="center" wrapText="1"/>
    </xf>
    <xf numFmtId="2" fontId="4" fillId="9" borderId="1" xfId="3" applyNumberFormat="1" applyFont="1" applyFill="1" applyBorder="1" applyAlignment="1">
      <alignment vertical="center" wrapText="1"/>
    </xf>
    <xf numFmtId="170" fontId="9" fillId="10" borderId="1" xfId="4" applyNumberFormat="1" applyFont="1" applyFill="1" applyBorder="1" applyAlignment="1">
      <alignment vertical="center" wrapText="1"/>
    </xf>
    <xf numFmtId="170" fontId="4" fillId="5" borderId="1" xfId="4" applyNumberFormat="1" applyFont="1" applyFill="1" applyBorder="1" applyAlignment="1">
      <alignment vertical="center" wrapText="1"/>
    </xf>
    <xf numFmtId="170" fontId="4" fillId="11" borderId="10" xfId="4" applyNumberFormat="1" applyFont="1" applyFill="1" applyBorder="1" applyAlignment="1">
      <alignment vertical="center" wrapText="1"/>
    </xf>
    <xf numFmtId="168" fontId="9" fillId="4" borderId="16" xfId="6" applyNumberFormat="1" applyFont="1" applyFill="1" applyBorder="1" applyAlignment="1">
      <alignment horizontal="center" vertical="center"/>
    </xf>
    <xf numFmtId="168" fontId="9" fillId="4" borderId="32" xfId="6" applyNumberFormat="1" applyFont="1" applyFill="1" applyBorder="1" applyAlignment="1">
      <alignment horizontal="center" vertical="center"/>
    </xf>
    <xf numFmtId="168" fontId="9" fillId="4" borderId="33" xfId="6" applyNumberFormat="1" applyFont="1" applyFill="1" applyBorder="1" applyAlignment="1">
      <alignment horizontal="center" vertical="center"/>
    </xf>
    <xf numFmtId="168" fontId="9" fillId="3" borderId="2" xfId="6" applyNumberFormat="1" applyFont="1" applyFill="1" applyBorder="1" applyAlignment="1">
      <alignment horizontal="center" vertical="center"/>
    </xf>
    <xf numFmtId="170" fontId="9" fillId="4" borderId="16" xfId="0" applyNumberFormat="1" applyFont="1" applyFill="1" applyBorder="1" applyAlignment="1">
      <alignment horizontal="right"/>
    </xf>
    <xf numFmtId="170" fontId="9" fillId="4" borderId="32" xfId="0" applyNumberFormat="1" applyFont="1" applyFill="1" applyBorder="1" applyAlignment="1">
      <alignment horizontal="right"/>
    </xf>
    <xf numFmtId="170" fontId="9" fillId="4" borderId="33" xfId="0" applyNumberFormat="1" applyFont="1" applyFill="1" applyBorder="1" applyAlignment="1">
      <alignment horizontal="right"/>
    </xf>
    <xf numFmtId="170" fontId="9" fillId="15" borderId="16" xfId="0" applyNumberFormat="1" applyFont="1" applyFill="1" applyBorder="1" applyAlignment="1">
      <alignment horizontal="right"/>
    </xf>
    <xf numFmtId="0" fontId="4" fillId="15" borderId="28" xfId="0" applyFont="1" applyFill="1" applyBorder="1"/>
    <xf numFmtId="0" fontId="4" fillId="15" borderId="29" xfId="0" applyFont="1" applyFill="1" applyBorder="1"/>
    <xf numFmtId="0" fontId="4" fillId="15" borderId="29" xfId="3" applyNumberFormat="1" applyFont="1" applyFill="1" applyBorder="1" applyAlignment="1">
      <alignment horizontal="left" vertical="center" wrapText="1"/>
    </xf>
    <xf numFmtId="0" fontId="4" fillId="15" borderId="35" xfId="3" applyNumberFormat="1" applyFont="1" applyFill="1" applyBorder="1" applyAlignment="1">
      <alignment horizontal="center" vertical="center" wrapText="1"/>
    </xf>
    <xf numFmtId="170" fontId="4" fillId="15" borderId="39" xfId="0" applyNumberFormat="1" applyFont="1" applyFill="1" applyBorder="1"/>
    <xf numFmtId="170" fontId="4" fillId="15" borderId="25" xfId="0" applyNumberFormat="1" applyFont="1" applyFill="1" applyBorder="1"/>
    <xf numFmtId="170" fontId="5" fillId="15" borderId="32" xfId="0" applyNumberFormat="1" applyFont="1" applyFill="1" applyBorder="1" applyAlignment="1">
      <alignment horizontal="right"/>
    </xf>
    <xf numFmtId="170" fontId="5" fillId="15" borderId="33" xfId="0" applyNumberFormat="1" applyFont="1" applyFill="1" applyBorder="1" applyAlignment="1">
      <alignment horizontal="right"/>
    </xf>
    <xf numFmtId="168" fontId="5" fillId="15" borderId="2" xfId="6" applyNumberFormat="1" applyFont="1" applyFill="1" applyBorder="1" applyAlignment="1">
      <alignment horizontal="center" vertical="center"/>
    </xf>
    <xf numFmtId="0" fontId="4" fillId="15" borderId="2" xfId="0" applyFont="1" applyFill="1" applyBorder="1" applyAlignment="1">
      <alignment horizontal="center" vertical="center" wrapText="1"/>
    </xf>
    <xf numFmtId="0" fontId="4" fillId="15" borderId="36" xfId="0" applyFont="1" applyFill="1" applyBorder="1" applyAlignment="1">
      <alignment horizontal="center" vertical="center" wrapText="1"/>
    </xf>
    <xf numFmtId="168" fontId="5" fillId="16" borderId="16" xfId="6" applyNumberFormat="1" applyFont="1" applyFill="1" applyBorder="1" applyAlignment="1">
      <alignment horizontal="center" vertical="center"/>
    </xf>
    <xf numFmtId="168" fontId="5" fillId="16" borderId="32" xfId="6" applyNumberFormat="1" applyFont="1" applyFill="1" applyBorder="1" applyAlignment="1">
      <alignment horizontal="center" vertical="center"/>
    </xf>
    <xf numFmtId="168" fontId="5" fillId="16" borderId="33" xfId="6" applyNumberFormat="1" applyFont="1" applyFill="1" applyBorder="1" applyAlignment="1">
      <alignment horizontal="center" vertical="center"/>
    </xf>
    <xf numFmtId="0" fontId="5" fillId="15" borderId="36" xfId="0" applyFont="1" applyFill="1" applyBorder="1" applyAlignment="1">
      <alignment horizontal="center" vertical="center" wrapText="1"/>
    </xf>
    <xf numFmtId="0" fontId="4" fillId="17" borderId="28" xfId="0" applyFont="1" applyFill="1" applyBorder="1"/>
    <xf numFmtId="0" fontId="4" fillId="17" borderId="29" xfId="0" applyFont="1" applyFill="1" applyBorder="1"/>
    <xf numFmtId="0" fontId="4" fillId="17" borderId="35" xfId="0" applyFont="1" applyFill="1" applyBorder="1"/>
    <xf numFmtId="170" fontId="4" fillId="17" borderId="39" xfId="0" applyNumberFormat="1" applyFont="1" applyFill="1" applyBorder="1"/>
    <xf numFmtId="170" fontId="4" fillId="17" borderId="25" xfId="0" applyNumberFormat="1" applyFont="1" applyFill="1" applyBorder="1"/>
    <xf numFmtId="170" fontId="4" fillId="17" borderId="26" xfId="0" applyNumberFormat="1" applyFont="1" applyFill="1" applyBorder="1"/>
    <xf numFmtId="0" fontId="5" fillId="17" borderId="29" xfId="0" applyFont="1" applyFill="1" applyBorder="1" applyAlignment="1">
      <alignment horizontal="left"/>
    </xf>
    <xf numFmtId="0" fontId="11" fillId="0" borderId="0" xfId="0" applyFont="1"/>
    <xf numFmtId="0" fontId="4" fillId="8" borderId="1" xfId="3" applyNumberFormat="1" applyFont="1" applyFill="1" applyBorder="1" applyAlignment="1">
      <alignment horizontal="center" vertical="center" wrapText="1"/>
    </xf>
    <xf numFmtId="0" fontId="4" fillId="8" borderId="12" xfId="3" applyNumberFormat="1" applyFont="1" applyFill="1" applyBorder="1" applyAlignment="1">
      <alignment horizontal="center" vertical="center" wrapText="1"/>
    </xf>
    <xf numFmtId="2" fontId="4" fillId="9" borderId="1" xfId="3" applyNumberFormat="1" applyFont="1" applyFill="1" applyBorder="1" applyAlignment="1">
      <alignment horizontal="center" wrapText="1"/>
    </xf>
    <xf numFmtId="2" fontId="4" fillId="9" borderId="12" xfId="3" applyNumberFormat="1" applyFont="1" applyFill="1" applyBorder="1" applyAlignment="1">
      <alignment horizontal="center" wrapText="1"/>
    </xf>
    <xf numFmtId="9" fontId="9" fillId="10" borderId="1" xfId="5" applyFont="1" applyFill="1" applyBorder="1" applyAlignment="1">
      <alignment horizontal="center" vertical="center" wrapText="1"/>
    </xf>
    <xf numFmtId="9" fontId="9" fillId="10" borderId="12" xfId="5" applyFont="1" applyFill="1" applyBorder="1" applyAlignment="1">
      <alignment horizontal="center" vertical="center" wrapText="1"/>
    </xf>
    <xf numFmtId="0" fontId="5" fillId="13" borderId="17" xfId="0" applyFont="1" applyFill="1" applyBorder="1" applyAlignment="1">
      <alignment horizontal="center" vertical="center" wrapText="1"/>
    </xf>
    <xf numFmtId="170" fontId="4" fillId="5" borderId="19" xfId="4" applyNumberFormat="1" applyFont="1" applyFill="1" applyBorder="1" applyAlignment="1">
      <alignment horizontal="left" vertical="center" wrapText="1"/>
    </xf>
    <xf numFmtId="170" fontId="4" fillId="5" borderId="20" xfId="4" applyNumberFormat="1" applyFont="1" applyFill="1" applyBorder="1" applyAlignment="1">
      <alignment horizontal="left" vertical="center" wrapText="1"/>
    </xf>
    <xf numFmtId="170" fontId="4" fillId="12" borderId="6" xfId="0" applyNumberFormat="1" applyFont="1" applyFill="1" applyBorder="1" applyAlignment="1">
      <alignment horizontal="left" vertical="center" wrapText="1"/>
    </xf>
    <xf numFmtId="0" fontId="9" fillId="7" borderId="4" xfId="0" applyFont="1" applyFill="1" applyBorder="1" applyAlignment="1">
      <alignment horizontal="center" vertical="center" wrapText="1"/>
    </xf>
    <xf numFmtId="2" fontId="4" fillId="8" borderId="27" xfId="3" applyNumberFormat="1" applyFont="1" applyFill="1" applyBorder="1" applyAlignment="1">
      <alignment horizontal="center" vertical="center" wrapText="1"/>
    </xf>
    <xf numFmtId="2" fontId="4" fillId="8" borderId="6" xfId="3" applyNumberFormat="1" applyFont="1" applyFill="1" applyBorder="1" applyAlignment="1">
      <alignment horizontal="center" vertical="center" wrapText="1"/>
    </xf>
    <xf numFmtId="2" fontId="4" fillId="8" borderId="31" xfId="3" applyNumberFormat="1" applyFont="1" applyFill="1" applyBorder="1" applyAlignment="1">
      <alignment horizontal="center" vertical="center" wrapText="1"/>
    </xf>
    <xf numFmtId="0" fontId="5" fillId="13" borderId="7" xfId="0" applyFont="1" applyFill="1" applyBorder="1" applyAlignment="1">
      <alignment horizontal="center" vertical="center" wrapText="1"/>
    </xf>
    <xf numFmtId="2" fontId="4" fillId="8" borderId="15" xfId="3" applyNumberFormat="1" applyFont="1" applyFill="1" applyBorder="1" applyAlignment="1">
      <alignment horizontal="center" vertical="center" wrapText="1"/>
    </xf>
    <xf numFmtId="2" fontId="4" fillId="8" borderId="40" xfId="3" applyNumberFormat="1" applyFont="1" applyFill="1" applyBorder="1" applyAlignment="1">
      <alignment horizontal="center" vertical="center" wrapText="1"/>
    </xf>
    <xf numFmtId="2" fontId="4" fillId="8" borderId="23" xfId="3" applyNumberFormat="1" applyFont="1" applyFill="1" applyBorder="1" applyAlignment="1">
      <alignment horizontal="center" vertical="center" wrapText="1"/>
    </xf>
    <xf numFmtId="1" fontId="4" fillId="8" borderId="1" xfId="3" applyNumberFormat="1" applyFont="1" applyFill="1" applyBorder="1" applyAlignment="1">
      <alignment horizontal="center" vertical="center" wrapText="1"/>
    </xf>
    <xf numFmtId="1" fontId="4" fillId="8" borderId="12" xfId="3"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2" xfId="0" applyFont="1" applyFill="1" applyBorder="1" applyAlignment="1">
      <alignment horizontal="left" vertical="center" wrapText="1"/>
    </xf>
    <xf numFmtId="0" fontId="4" fillId="8" borderId="1" xfId="3" applyNumberFormat="1" applyFont="1" applyFill="1" applyBorder="1" applyAlignment="1">
      <alignment horizontal="center" vertical="center"/>
    </xf>
    <xf numFmtId="0" fontId="4" fillId="8" borderId="12" xfId="3" applyNumberFormat="1" applyFont="1" applyFill="1" applyBorder="1" applyAlignment="1">
      <alignment horizontal="center" vertical="center"/>
    </xf>
    <xf numFmtId="169" fontId="9" fillId="10" borderId="1" xfId="4" applyNumberFormat="1" applyFont="1" applyFill="1" applyBorder="1" applyAlignment="1">
      <alignment horizontal="center" vertical="center" wrapText="1"/>
    </xf>
    <xf numFmtId="169" fontId="9" fillId="10" borderId="12" xfId="4" applyNumberFormat="1" applyFont="1" applyFill="1" applyBorder="1" applyAlignment="1">
      <alignment horizontal="center" vertical="center" wrapText="1"/>
    </xf>
    <xf numFmtId="170" fontId="4" fillId="11" borderId="30" xfId="4" applyNumberFormat="1" applyFont="1" applyFill="1" applyBorder="1" applyAlignment="1">
      <alignment horizontal="left" vertical="center" wrapText="1"/>
    </xf>
    <xf numFmtId="170" fontId="4" fillId="11" borderId="38" xfId="4" applyNumberFormat="1" applyFont="1" applyFill="1" applyBorder="1" applyAlignment="1">
      <alignment horizontal="left" vertical="center" wrapText="1"/>
    </xf>
    <xf numFmtId="168" fontId="5" fillId="11" borderId="16" xfId="6" applyNumberFormat="1" applyFont="1" applyFill="1" applyBorder="1" applyAlignment="1">
      <alignment horizontal="center" vertical="center"/>
    </xf>
    <xf numFmtId="170" fontId="4" fillId="11" borderId="30" xfId="4" applyNumberFormat="1" applyFont="1" applyFill="1" applyBorder="1" applyAlignment="1">
      <alignment vertical="center" wrapText="1"/>
    </xf>
    <xf numFmtId="0" fontId="5" fillId="15" borderId="29" xfId="0" applyFont="1" applyFill="1" applyBorder="1" applyAlignment="1">
      <alignment horizontal="center" vertical="center" wrapText="1"/>
    </xf>
    <xf numFmtId="0" fontId="5" fillId="16" borderId="41" xfId="0" applyFont="1" applyFill="1" applyBorder="1" applyAlignment="1">
      <alignment horizontal="center" vertical="center"/>
    </xf>
    <xf numFmtId="0" fontId="5" fillId="18" borderId="0" xfId="0" applyFont="1" applyFill="1" applyBorder="1" applyAlignment="1">
      <alignment horizontal="center" vertical="center"/>
    </xf>
    <xf numFmtId="168" fontId="5" fillId="18" borderId="16" xfId="6" applyNumberFormat="1" applyFont="1" applyFill="1" applyBorder="1" applyAlignment="1">
      <alignment horizontal="center" vertical="center"/>
    </xf>
    <xf numFmtId="170" fontId="4" fillId="16" borderId="1" xfId="4" applyNumberFormat="1" applyFont="1" applyFill="1" applyBorder="1" applyAlignment="1">
      <alignment horizontal="left" vertical="center" wrapText="1"/>
    </xf>
    <xf numFmtId="168" fontId="5" fillId="18" borderId="32" xfId="6" applyNumberFormat="1" applyFont="1" applyFill="1" applyBorder="1" applyAlignment="1">
      <alignment horizontal="center" vertical="center"/>
    </xf>
    <xf numFmtId="168" fontId="5" fillId="18" borderId="33" xfId="6" applyNumberFormat="1" applyFont="1" applyFill="1" applyBorder="1" applyAlignment="1">
      <alignment horizontal="center" vertical="center"/>
    </xf>
    <xf numFmtId="0" fontId="5" fillId="11" borderId="37" xfId="0" applyFont="1" applyFill="1" applyBorder="1" applyAlignment="1">
      <alignment horizontal="center" vertical="center"/>
    </xf>
    <xf numFmtId="170" fontId="4" fillId="0" borderId="42" xfId="0" applyNumberFormat="1" applyFont="1" applyFill="1" applyBorder="1"/>
    <xf numFmtId="0" fontId="5" fillId="16" borderId="37" xfId="0" applyFont="1" applyFill="1" applyBorder="1" applyAlignment="1">
      <alignment horizontal="center" vertical="center"/>
    </xf>
    <xf numFmtId="0" fontId="5" fillId="16" borderId="34" xfId="0" applyFont="1" applyFill="1" applyBorder="1" applyAlignment="1">
      <alignment horizontal="center" vertical="center"/>
    </xf>
    <xf numFmtId="170" fontId="4" fillId="16" borderId="18" xfId="4" applyNumberFormat="1" applyFont="1" applyFill="1" applyBorder="1" applyAlignment="1">
      <alignment horizontal="left" vertical="center" wrapText="1"/>
    </xf>
    <xf numFmtId="170" fontId="4" fillId="16" borderId="19" xfId="4" applyNumberFormat="1" applyFont="1" applyFill="1" applyBorder="1" applyAlignment="1">
      <alignment horizontal="left" vertical="center" wrapText="1"/>
    </xf>
    <xf numFmtId="170" fontId="4" fillId="16" borderId="14" xfId="4" applyNumberFormat="1" applyFont="1" applyFill="1" applyBorder="1" applyAlignment="1">
      <alignment horizontal="left" vertical="center" wrapText="1"/>
    </xf>
    <xf numFmtId="170" fontId="4" fillId="16" borderId="12" xfId="4" applyNumberFormat="1" applyFont="1" applyFill="1" applyBorder="1" applyAlignment="1">
      <alignment horizontal="left" vertical="center" wrapText="1"/>
    </xf>
    <xf numFmtId="170" fontId="4" fillId="16" borderId="20" xfId="4" applyNumberFormat="1" applyFont="1" applyFill="1" applyBorder="1" applyAlignment="1">
      <alignment horizontal="left" vertical="center" wrapText="1"/>
    </xf>
    <xf numFmtId="0" fontId="5" fillId="16" borderId="13" xfId="0" applyFont="1" applyFill="1" applyBorder="1" applyAlignment="1">
      <alignment horizontal="center" vertical="center"/>
    </xf>
    <xf numFmtId="0" fontId="5" fillId="16" borderId="3" xfId="0" applyFont="1" applyFill="1" applyBorder="1" applyAlignment="1">
      <alignment horizontal="center" vertical="center"/>
    </xf>
    <xf numFmtId="0" fontId="5" fillId="16" borderId="17" xfId="0" applyFont="1" applyFill="1" applyBorder="1" applyAlignment="1">
      <alignment horizontal="center" vertical="center"/>
    </xf>
    <xf numFmtId="0" fontId="4" fillId="0" borderId="43" xfId="0" applyFont="1" applyFill="1" applyBorder="1" applyAlignment="1">
      <alignment horizontal="center" vertical="center" wrapText="1"/>
    </xf>
    <xf numFmtId="0" fontId="13" fillId="0" borderId="44" xfId="0" applyFont="1" applyBorder="1" applyAlignment="1">
      <alignment vertical="center" wrapText="1"/>
    </xf>
    <xf numFmtId="0" fontId="13" fillId="0" borderId="33" xfId="0" applyFont="1" applyBorder="1" applyAlignment="1">
      <alignment vertical="center" wrapText="1"/>
    </xf>
    <xf numFmtId="168" fontId="5" fillId="11" borderId="33" xfId="6" applyNumberFormat="1" applyFont="1" applyFill="1" applyBorder="1" applyAlignment="1">
      <alignment horizontal="center" vertical="center"/>
    </xf>
    <xf numFmtId="168" fontId="9" fillId="4" borderId="48" xfId="6" applyNumberFormat="1" applyFont="1" applyFill="1" applyBorder="1" applyAlignment="1">
      <alignment horizontal="center" vertical="center"/>
    </xf>
    <xf numFmtId="168" fontId="9" fillId="4" borderId="49" xfId="6" applyNumberFormat="1" applyFont="1" applyFill="1" applyBorder="1" applyAlignment="1">
      <alignment horizontal="center" vertical="center"/>
    </xf>
    <xf numFmtId="168" fontId="9" fillId="4" borderId="50" xfId="6" applyNumberFormat="1" applyFont="1" applyFill="1" applyBorder="1" applyAlignment="1">
      <alignment horizontal="center" vertical="center"/>
    </xf>
    <xf numFmtId="0" fontId="4" fillId="19" borderId="0" xfId="0" applyFont="1" applyFill="1"/>
    <xf numFmtId="170" fontId="4" fillId="19" borderId="0" xfId="0" applyNumberFormat="1" applyFont="1" applyFill="1"/>
    <xf numFmtId="170" fontId="13" fillId="0" borderId="26" xfId="7" applyNumberFormat="1" applyFont="1" applyBorder="1" applyAlignment="1">
      <alignment vertical="center" wrapText="1"/>
    </xf>
    <xf numFmtId="170" fontId="13" fillId="0" borderId="2" xfId="7" applyNumberFormat="1" applyFont="1" applyBorder="1" applyAlignment="1">
      <alignment vertical="center" wrapText="1"/>
    </xf>
    <xf numFmtId="170" fontId="13" fillId="0" borderId="33" xfId="7" applyNumberFormat="1" applyFont="1" applyBorder="1" applyAlignment="1">
      <alignment vertical="center" wrapText="1"/>
    </xf>
    <xf numFmtId="0" fontId="13" fillId="0" borderId="26" xfId="0" applyFont="1" applyFill="1" applyBorder="1" applyAlignment="1">
      <alignment vertical="center" wrapText="1"/>
    </xf>
    <xf numFmtId="0" fontId="15" fillId="0" borderId="26" xfId="0" applyFont="1" applyBorder="1" applyAlignment="1">
      <alignment vertical="center" wrapText="1"/>
    </xf>
    <xf numFmtId="0" fontId="15" fillId="0" borderId="44" xfId="0" applyFont="1" applyBorder="1" applyAlignment="1">
      <alignment vertical="center" wrapText="1"/>
    </xf>
    <xf numFmtId="0" fontId="15" fillId="0" borderId="2" xfId="0" applyFont="1" applyBorder="1" applyAlignment="1">
      <alignment vertical="center" wrapText="1"/>
    </xf>
    <xf numFmtId="1" fontId="4" fillId="9" borderId="31" xfId="3" applyNumberFormat="1" applyFont="1" applyFill="1" applyBorder="1" applyAlignment="1">
      <alignment horizontal="center" vertical="center" wrapText="1"/>
    </xf>
    <xf numFmtId="0" fontId="15" fillId="0" borderId="26" xfId="0" applyFont="1" applyFill="1" applyBorder="1" applyAlignment="1">
      <alignment vertical="center" wrapText="1"/>
    </xf>
    <xf numFmtId="0" fontId="15" fillId="0" borderId="2" xfId="0" applyFont="1" applyFill="1" applyBorder="1" applyAlignment="1">
      <alignment vertical="center" wrapText="1"/>
    </xf>
    <xf numFmtId="0" fontId="15" fillId="0" borderId="44" xfId="0" applyFont="1" applyFill="1" applyBorder="1" applyAlignment="1">
      <alignment vertical="center" wrapText="1"/>
    </xf>
    <xf numFmtId="0" fontId="15" fillId="0" borderId="33" xfId="0" applyFont="1" applyFill="1" applyBorder="1" applyAlignment="1">
      <alignment vertical="center" wrapText="1"/>
    </xf>
    <xf numFmtId="170" fontId="13" fillId="0" borderId="2" xfId="7" applyNumberFormat="1" applyFont="1" applyFill="1" applyBorder="1" applyAlignment="1">
      <alignment vertical="center" wrapText="1"/>
    </xf>
    <xf numFmtId="0" fontId="15" fillId="0" borderId="47" xfId="0" applyFont="1" applyFill="1" applyBorder="1" applyAlignment="1">
      <alignment vertical="center" wrapText="1"/>
    </xf>
    <xf numFmtId="170" fontId="4" fillId="20" borderId="1" xfId="0" applyNumberFormat="1" applyFont="1" applyFill="1" applyBorder="1" applyAlignment="1">
      <alignment horizontal="left" vertical="center" wrapText="1"/>
    </xf>
    <xf numFmtId="170" fontId="4" fillId="6" borderId="12" xfId="0" applyNumberFormat="1" applyFont="1" applyFill="1" applyBorder="1" applyAlignment="1">
      <alignment horizontal="left" vertical="center" wrapText="1"/>
    </xf>
    <xf numFmtId="170" fontId="4" fillId="6" borderId="1" xfId="0" applyNumberFormat="1" applyFont="1" applyFill="1" applyBorder="1" applyAlignment="1">
      <alignment horizontal="left" vertical="center" wrapText="1"/>
    </xf>
    <xf numFmtId="170" fontId="4" fillId="6" borderId="1" xfId="0" applyNumberFormat="1" applyFont="1" applyFill="1" applyBorder="1" applyAlignment="1">
      <alignment vertical="center" wrapText="1"/>
    </xf>
    <xf numFmtId="170" fontId="4" fillId="19" borderId="1" xfId="0" applyNumberFormat="1" applyFont="1" applyFill="1" applyBorder="1" applyAlignment="1">
      <alignment horizontal="left" vertical="center" wrapText="1"/>
    </xf>
    <xf numFmtId="170" fontId="4" fillId="5" borderId="19" xfId="4" applyNumberFormat="1" applyFont="1" applyFill="1" applyBorder="1" applyAlignment="1">
      <alignment vertical="center" wrapText="1"/>
    </xf>
    <xf numFmtId="170" fontId="4" fillId="12" borderId="12" xfId="0" applyNumberFormat="1" applyFont="1" applyFill="1" applyBorder="1" applyAlignment="1">
      <alignment vertical="center" wrapText="1"/>
    </xf>
    <xf numFmtId="0" fontId="12" fillId="0" borderId="1" xfId="0" applyFont="1" applyFill="1" applyBorder="1" applyAlignment="1">
      <alignment vertical="top" wrapText="1"/>
    </xf>
    <xf numFmtId="0" fontId="12" fillId="0" borderId="1" xfId="0" applyFont="1" applyFill="1" applyBorder="1" applyAlignment="1">
      <alignment horizontal="center" vertical="top" wrapText="1"/>
    </xf>
    <xf numFmtId="172" fontId="12" fillId="0" borderId="1" xfId="0" applyNumberFormat="1" applyFont="1" applyFill="1" applyBorder="1" applyAlignment="1">
      <alignment horizontal="center" vertical="top" wrapText="1"/>
    </xf>
    <xf numFmtId="172" fontId="12" fillId="14" borderId="1" xfId="0" applyNumberFormat="1" applyFont="1" applyFill="1" applyBorder="1" applyAlignment="1">
      <alignment horizontal="center" vertical="top" wrapText="1"/>
    </xf>
    <xf numFmtId="0" fontId="18" fillId="2" borderId="1" xfId="0" applyFont="1" applyFill="1" applyBorder="1" applyAlignment="1">
      <alignment horizontal="center" vertical="top" wrapText="1"/>
    </xf>
    <xf numFmtId="0" fontId="16" fillId="21" borderId="1" xfId="0" applyFont="1" applyFill="1" applyBorder="1" applyAlignment="1">
      <alignment vertical="top" wrapText="1"/>
    </xf>
    <xf numFmtId="0" fontId="9" fillId="21" borderId="1" xfId="0" applyFont="1" applyFill="1" applyBorder="1" applyAlignment="1">
      <alignment vertical="top" wrapText="1"/>
    </xf>
    <xf numFmtId="0" fontId="9" fillId="21" borderId="1" xfId="0" applyFont="1" applyFill="1" applyBorder="1" applyAlignment="1">
      <alignment horizontal="center" vertical="top" wrapText="1"/>
    </xf>
    <xf numFmtId="172" fontId="9" fillId="21" borderId="1" xfId="0" applyNumberFormat="1" applyFont="1" applyFill="1" applyBorder="1" applyAlignment="1">
      <alignment horizontal="center" vertical="top" wrapText="1"/>
    </xf>
    <xf numFmtId="0" fontId="19" fillId="21" borderId="1" xfId="0" applyFont="1" applyFill="1" applyBorder="1" applyAlignment="1">
      <alignment horizontal="center" vertical="top" wrapText="1"/>
    </xf>
    <xf numFmtId="3" fontId="0" fillId="0" borderId="1" xfId="0" applyNumberFormat="1" applyFill="1" applyBorder="1" applyAlignment="1">
      <alignment vertical="top" wrapText="1"/>
    </xf>
    <xf numFmtId="3" fontId="0" fillId="0" borderId="1" xfId="0" applyNumberFormat="1" applyFill="1" applyBorder="1" applyAlignment="1">
      <alignment horizontal="center" vertical="top" wrapText="1"/>
    </xf>
    <xf numFmtId="3" fontId="0" fillId="19" borderId="1" xfId="0" applyNumberFormat="1" applyFill="1" applyBorder="1" applyAlignment="1">
      <alignment horizontal="center" vertical="top" wrapText="1"/>
    </xf>
    <xf numFmtId="3" fontId="0" fillId="14" borderId="1" xfId="0" applyNumberFormat="1" applyFill="1" applyBorder="1" applyAlignment="1">
      <alignment horizontal="center" vertical="top" wrapText="1"/>
    </xf>
    <xf numFmtId="3" fontId="20" fillId="2" borderId="1" xfId="0" applyNumberFormat="1" applyFont="1" applyFill="1" applyBorder="1" applyAlignment="1">
      <alignment horizontal="center" vertical="top" wrapText="1"/>
    </xf>
    <xf numFmtId="3" fontId="21" fillId="0" borderId="1" xfId="0" applyNumberFormat="1" applyFont="1" applyBorder="1" applyAlignment="1">
      <alignment horizontal="center" vertical="top" wrapText="1"/>
    </xf>
    <xf numFmtId="3" fontId="0" fillId="19" borderId="1" xfId="0" applyNumberFormat="1" applyFont="1" applyFill="1" applyBorder="1" applyAlignment="1">
      <alignment vertical="top" wrapText="1"/>
    </xf>
    <xf numFmtId="2" fontId="0" fillId="0" borderId="1" xfId="0" applyNumberFormat="1" applyFill="1" applyBorder="1" applyAlignment="1">
      <alignment horizontal="center" vertical="top" wrapText="1"/>
    </xf>
    <xf numFmtId="3" fontId="0" fillId="19" borderId="1" xfId="0" applyNumberFormat="1" applyFill="1" applyBorder="1" applyAlignment="1">
      <alignment vertical="top" wrapText="1"/>
    </xf>
    <xf numFmtId="0" fontId="16" fillId="21" borderId="1" xfId="0" applyFont="1" applyFill="1" applyBorder="1" applyAlignment="1">
      <alignment horizontal="left" vertical="top" wrapText="1"/>
    </xf>
    <xf numFmtId="3" fontId="17" fillId="0" borderId="1" xfId="0" applyNumberFormat="1" applyFont="1" applyFill="1" applyBorder="1" applyAlignment="1">
      <alignment vertical="top" wrapText="1"/>
    </xf>
    <xf numFmtId="3" fontId="0" fillId="0" borderId="42" xfId="0" applyNumberFormat="1" applyFill="1" applyBorder="1" applyAlignment="1">
      <alignment horizontal="center" vertical="top" wrapText="1"/>
    </xf>
    <xf numFmtId="3" fontId="12" fillId="14" borderId="1" xfId="0" applyNumberFormat="1" applyFont="1" applyFill="1" applyBorder="1" applyAlignment="1">
      <alignment horizontal="center" vertical="top" wrapText="1"/>
    </xf>
    <xf numFmtId="3" fontId="12" fillId="0" borderId="1" xfId="0" applyNumberFormat="1" applyFont="1" applyFill="1" applyBorder="1" applyAlignment="1">
      <alignment horizontal="center" vertical="top" wrapText="1"/>
    </xf>
    <xf numFmtId="170" fontId="13" fillId="22" borderId="2" xfId="7" applyNumberFormat="1" applyFont="1" applyFill="1" applyBorder="1" applyAlignment="1">
      <alignment vertical="center" wrapText="1"/>
    </xf>
    <xf numFmtId="0" fontId="5" fillId="14" borderId="22" xfId="0" applyFont="1" applyFill="1" applyBorder="1" applyAlignment="1">
      <alignment horizontal="center" vertical="center" wrapText="1"/>
    </xf>
    <xf numFmtId="0" fontId="14" fillId="15" borderId="2" xfId="0" applyFont="1" applyFill="1" applyBorder="1" applyAlignment="1">
      <alignment vertical="center" wrapText="1"/>
    </xf>
    <xf numFmtId="0" fontId="14" fillId="15" borderId="33" xfId="0" applyFont="1" applyFill="1" applyBorder="1" applyAlignment="1">
      <alignment vertical="center" wrapText="1"/>
    </xf>
    <xf numFmtId="0" fontId="23" fillId="15" borderId="0" xfId="0" applyFont="1" applyFill="1" applyBorder="1" applyAlignment="1">
      <alignment horizontal="center" vertical="center"/>
    </xf>
    <xf numFmtId="0" fontId="23" fillId="15" borderId="16" xfId="0" applyFont="1" applyFill="1" applyBorder="1" applyAlignment="1">
      <alignment horizontal="center" vertical="center"/>
    </xf>
    <xf numFmtId="0" fontId="23" fillId="15" borderId="32" xfId="0" applyFont="1" applyFill="1" applyBorder="1" applyAlignment="1">
      <alignment horizontal="center" vertical="center"/>
    </xf>
    <xf numFmtId="0" fontId="23" fillId="15" borderId="33" xfId="0" applyFont="1" applyFill="1" applyBorder="1" applyAlignment="1">
      <alignment horizontal="center" vertical="center"/>
    </xf>
    <xf numFmtId="0" fontId="13" fillId="0" borderId="1" xfId="0" applyFont="1" applyBorder="1" applyAlignment="1">
      <alignment horizontal="center" vertical="center"/>
    </xf>
    <xf numFmtId="170" fontId="13" fillId="0" borderId="32" xfId="7" applyNumberFormat="1" applyFont="1" applyBorder="1" applyAlignment="1">
      <alignment horizontal="center" vertical="center" wrapText="1"/>
    </xf>
    <xf numFmtId="0" fontId="13" fillId="0" borderId="0" xfId="0" applyFont="1" applyAlignment="1">
      <alignment horizontal="center"/>
    </xf>
    <xf numFmtId="170" fontId="13" fillId="0" borderId="16" xfId="7" applyNumberFormat="1" applyFont="1" applyBorder="1" applyAlignment="1">
      <alignment horizontal="center" vertical="center" wrapText="1"/>
    </xf>
    <xf numFmtId="170" fontId="13" fillId="0" borderId="25" xfId="7" applyNumberFormat="1" applyFont="1" applyBorder="1" applyAlignment="1">
      <alignment horizontal="center" vertical="center" wrapText="1"/>
    </xf>
    <xf numFmtId="170" fontId="13" fillId="0" borderId="16" xfId="7" applyNumberFormat="1" applyFont="1" applyFill="1" applyBorder="1" applyAlignment="1">
      <alignment horizontal="center" vertical="center" wrapText="1"/>
    </xf>
    <xf numFmtId="170" fontId="14" fillId="22" borderId="2" xfId="7" applyNumberFormat="1" applyFont="1" applyFill="1" applyBorder="1" applyAlignment="1">
      <alignment horizontal="center" vertical="center" wrapText="1"/>
    </xf>
    <xf numFmtId="170" fontId="14" fillId="22" borderId="16" xfId="7" applyNumberFormat="1" applyFont="1" applyFill="1" applyBorder="1" applyAlignment="1">
      <alignment horizontal="center" vertical="center" wrapText="1"/>
    </xf>
    <xf numFmtId="0" fontId="13" fillId="0" borderId="1" xfId="0" applyFont="1" applyBorder="1" applyAlignment="1">
      <alignment horizontal="center"/>
    </xf>
    <xf numFmtId="171" fontId="24" fillId="22" borderId="1" xfId="7" applyNumberFormat="1" applyFont="1" applyFill="1" applyBorder="1" applyAlignment="1">
      <alignment horizontal="center"/>
    </xf>
    <xf numFmtId="171" fontId="24" fillId="7" borderId="1" xfId="7" applyNumberFormat="1" applyFont="1" applyFill="1" applyBorder="1" applyAlignment="1">
      <alignment horizontal="center"/>
    </xf>
    <xf numFmtId="171" fontId="13" fillId="0" borderId="1" xfId="7" applyNumberFormat="1" applyFont="1" applyBorder="1" applyAlignment="1">
      <alignment horizontal="center"/>
    </xf>
    <xf numFmtId="0" fontId="23" fillId="15" borderId="0" xfId="0" applyFont="1" applyFill="1" applyBorder="1" applyAlignment="1">
      <alignment vertical="center"/>
    </xf>
    <xf numFmtId="0" fontId="13" fillId="15" borderId="0" xfId="0" applyFont="1" applyFill="1" applyAlignment="1"/>
    <xf numFmtId="0" fontId="13" fillId="0" borderId="0" xfId="0" applyFont="1" applyAlignment="1"/>
    <xf numFmtId="0" fontId="13" fillId="0" borderId="2" xfId="0" applyFont="1" applyBorder="1" applyAlignment="1">
      <alignment vertical="center" wrapText="1"/>
    </xf>
    <xf numFmtId="0" fontId="13" fillId="22" borderId="0" xfId="0" applyFont="1" applyFill="1" applyAlignment="1"/>
    <xf numFmtId="10" fontId="13" fillId="0" borderId="0" xfId="5" applyNumberFormat="1" applyFont="1" applyAlignment="1"/>
    <xf numFmtId="0" fontId="13" fillId="0" borderId="1" xfId="0" applyFont="1" applyBorder="1" applyAlignment="1"/>
    <xf numFmtId="0" fontId="14" fillId="0" borderId="1" xfId="0" applyFont="1" applyBorder="1" applyAlignment="1"/>
    <xf numFmtId="0" fontId="13" fillId="0" borderId="1" xfId="0" applyFont="1" applyBorder="1" applyAlignment="1">
      <alignment vertical="center"/>
    </xf>
    <xf numFmtId="0" fontId="24" fillId="22" borderId="1" xfId="0" applyFont="1" applyFill="1" applyBorder="1" applyAlignment="1"/>
    <xf numFmtId="0" fontId="25" fillId="22" borderId="1" xfId="0" applyFont="1" applyFill="1" applyBorder="1" applyAlignment="1"/>
    <xf numFmtId="171" fontId="24" fillId="22" borderId="1" xfId="7" applyNumberFormat="1" applyFont="1" applyFill="1" applyBorder="1" applyAlignment="1"/>
    <xf numFmtId="171" fontId="13" fillId="0" borderId="1" xfId="7" applyNumberFormat="1" applyFont="1" applyBorder="1" applyAlignment="1"/>
    <xf numFmtId="0" fontId="23" fillId="15" borderId="29" xfId="0" applyFont="1" applyFill="1" applyBorder="1" applyAlignment="1">
      <alignment vertical="center"/>
    </xf>
    <xf numFmtId="0" fontId="23" fillId="15" borderId="29" xfId="0" applyFont="1" applyFill="1" applyBorder="1" applyAlignment="1">
      <alignment horizontal="center" vertical="center"/>
    </xf>
    <xf numFmtId="0" fontId="23" fillId="15" borderId="35" xfId="0" applyFont="1" applyFill="1" applyBorder="1" applyAlignment="1">
      <alignment horizontal="center" vertical="center"/>
    </xf>
    <xf numFmtId="0" fontId="13" fillId="22" borderId="39" xfId="0" applyFont="1" applyFill="1" applyBorder="1" applyAlignment="1"/>
    <xf numFmtId="171" fontId="13" fillId="22" borderId="25" xfId="0" applyNumberFormat="1" applyFont="1" applyFill="1" applyBorder="1" applyAlignment="1"/>
    <xf numFmtId="170" fontId="13" fillId="2" borderId="2" xfId="7" applyNumberFormat="1" applyFont="1" applyFill="1" applyBorder="1" applyAlignment="1">
      <alignment horizontal="center" vertical="center" wrapText="1"/>
    </xf>
    <xf numFmtId="0" fontId="14" fillId="2" borderId="45" xfId="0" applyFont="1" applyFill="1" applyBorder="1" applyAlignment="1">
      <alignment vertical="center" wrapText="1"/>
    </xf>
    <xf numFmtId="170" fontId="13" fillId="2" borderId="26" xfId="7" applyNumberFormat="1" applyFont="1" applyFill="1" applyBorder="1" applyAlignment="1">
      <alignment vertical="center" wrapText="1"/>
    </xf>
    <xf numFmtId="170" fontId="13" fillId="2" borderId="2" xfId="7" applyNumberFormat="1" applyFont="1" applyFill="1" applyBorder="1" applyAlignment="1">
      <alignment vertical="center" wrapText="1"/>
    </xf>
    <xf numFmtId="170" fontId="13" fillId="2" borderId="16" xfId="7" applyNumberFormat="1" applyFont="1" applyFill="1" applyBorder="1" applyAlignment="1">
      <alignment horizontal="center" vertical="center" wrapText="1"/>
    </xf>
    <xf numFmtId="0" fontId="14" fillId="2" borderId="46" xfId="0" applyFont="1" applyFill="1" applyBorder="1" applyAlignment="1">
      <alignment vertical="center" wrapText="1"/>
    </xf>
    <xf numFmtId="0" fontId="14" fillId="2" borderId="51" xfId="0" applyFont="1" applyFill="1" applyBorder="1" applyAlignment="1">
      <alignment vertical="center" wrapText="1"/>
    </xf>
    <xf numFmtId="0" fontId="14" fillId="2" borderId="16" xfId="0" applyFont="1" applyFill="1" applyBorder="1" applyAlignment="1">
      <alignment vertical="center" wrapText="1"/>
    </xf>
    <xf numFmtId="0" fontId="13" fillId="2" borderId="33" xfId="0" applyFont="1" applyFill="1" applyBorder="1" applyAlignment="1">
      <alignment vertical="center" wrapText="1"/>
    </xf>
    <xf numFmtId="170" fontId="13" fillId="2" borderId="0" xfId="7" applyNumberFormat="1" applyFont="1" applyFill="1" applyBorder="1" applyAlignment="1">
      <alignment vertical="center" wrapText="1"/>
    </xf>
    <xf numFmtId="170" fontId="13" fillId="2" borderId="33" xfId="7" applyNumberFormat="1" applyFont="1" applyFill="1" applyBorder="1" applyAlignment="1">
      <alignment horizontal="center" vertical="center" wrapText="1"/>
    </xf>
    <xf numFmtId="170" fontId="13" fillId="0" borderId="52" xfId="7" applyNumberFormat="1" applyFont="1" applyBorder="1" applyAlignment="1">
      <alignment horizontal="center" vertical="center" wrapText="1"/>
    </xf>
    <xf numFmtId="170" fontId="13" fillId="0" borderId="52" xfId="7" applyNumberFormat="1" applyFont="1" applyFill="1" applyBorder="1" applyAlignment="1">
      <alignment horizontal="center" vertical="center" wrapText="1"/>
    </xf>
    <xf numFmtId="0" fontId="14" fillId="2" borderId="16" xfId="0" applyFont="1" applyFill="1" applyBorder="1" applyAlignment="1">
      <alignment horizontal="right" vertical="center" wrapText="1"/>
    </xf>
    <xf numFmtId="0" fontId="14" fillId="2" borderId="33" xfId="0" applyFont="1" applyFill="1" applyBorder="1" applyAlignment="1">
      <alignment horizontal="right" vertical="center" wrapText="1"/>
    </xf>
    <xf numFmtId="0" fontId="14" fillId="0" borderId="44" xfId="0" applyFont="1" applyBorder="1" applyAlignment="1">
      <alignment vertical="center" wrapText="1"/>
    </xf>
    <xf numFmtId="0" fontId="14" fillId="0" borderId="45" xfId="0" applyFont="1" applyBorder="1" applyAlignment="1">
      <alignment vertical="center" wrapText="1"/>
    </xf>
    <xf numFmtId="0" fontId="14" fillId="0" borderId="46" xfId="0" applyFont="1" applyBorder="1" applyAlignment="1">
      <alignment vertical="center" wrapText="1"/>
    </xf>
    <xf numFmtId="0" fontId="13" fillId="0" borderId="44" xfId="0" applyFont="1" applyBorder="1" applyAlignment="1">
      <alignment vertical="center" wrapText="1"/>
    </xf>
    <xf numFmtId="0" fontId="13" fillId="0" borderId="46" xfId="0" applyFont="1" applyBorder="1" applyAlignment="1">
      <alignment vertical="center" wrapText="1"/>
    </xf>
    <xf numFmtId="0" fontId="13" fillId="0" borderId="45" xfId="0" applyFont="1" applyBorder="1" applyAlignment="1">
      <alignment vertical="center" wrapText="1"/>
    </xf>
    <xf numFmtId="0" fontId="13" fillId="0" borderId="44" xfId="0" applyFont="1" applyFill="1" applyBorder="1" applyAlignment="1">
      <alignment vertical="center" wrapText="1"/>
    </xf>
    <xf numFmtId="0" fontId="13" fillId="0" borderId="45" xfId="0" applyFont="1" applyFill="1" applyBorder="1" applyAlignment="1">
      <alignment vertical="center" wrapText="1"/>
    </xf>
    <xf numFmtId="0" fontId="13" fillId="0" borderId="46" xfId="0" applyFont="1" applyFill="1" applyBorder="1" applyAlignment="1">
      <alignment vertical="center" wrapText="1"/>
    </xf>
    <xf numFmtId="170" fontId="14" fillId="22" borderId="16" xfId="7" applyNumberFormat="1" applyFont="1" applyFill="1" applyBorder="1" applyAlignment="1">
      <alignment vertical="center" wrapText="1"/>
    </xf>
    <xf numFmtId="170" fontId="14" fillId="22" borderId="33" xfId="7" applyNumberFormat="1" applyFont="1" applyFill="1" applyBorder="1" applyAlignment="1">
      <alignment vertical="center" wrapText="1"/>
    </xf>
    <xf numFmtId="3" fontId="12" fillId="0" borderId="1" xfId="0" applyNumberFormat="1" applyFont="1" applyFill="1" applyBorder="1" applyAlignment="1">
      <alignment horizontal="center" vertical="top" wrapText="1"/>
    </xf>
    <xf numFmtId="0" fontId="11" fillId="0" borderId="29" xfId="0" applyFont="1" applyBorder="1" applyAlignment="1">
      <alignment vertical="center" wrapText="1"/>
    </xf>
    <xf numFmtId="0" fontId="11" fillId="0" borderId="0" xfId="0" applyFont="1" applyAlignment="1">
      <alignment vertical="center" wrapText="1"/>
    </xf>
    <xf numFmtId="0" fontId="4" fillId="6" borderId="22" xfId="0" applyFont="1" applyFill="1" applyBorder="1" applyAlignment="1">
      <alignment horizontal="center" vertical="center" textRotation="90" wrapText="1"/>
    </xf>
    <xf numFmtId="0" fontId="4" fillId="6" borderId="5" xfId="0" applyFont="1" applyFill="1" applyBorder="1" applyAlignment="1">
      <alignment horizontal="center" vertical="center" textRotation="90" wrapText="1"/>
    </xf>
    <xf numFmtId="170" fontId="4" fillId="12" borderId="18" xfId="0" applyNumberFormat="1" applyFont="1" applyFill="1" applyBorder="1" applyAlignment="1">
      <alignment horizontal="center" vertical="center" textRotation="90" wrapText="1"/>
    </xf>
    <xf numFmtId="170" fontId="4" fillId="12" borderId="14" xfId="0" applyNumberFormat="1" applyFont="1" applyFill="1" applyBorder="1" applyAlignment="1">
      <alignment horizontal="center" vertical="center" textRotation="90" wrapText="1"/>
    </xf>
    <xf numFmtId="0" fontId="4" fillId="6" borderId="21" xfId="0" applyFont="1" applyFill="1" applyBorder="1" applyAlignment="1">
      <alignment horizontal="center" vertical="center" textRotation="90" wrapText="1"/>
    </xf>
  </cellXfs>
  <cellStyles count="8">
    <cellStyle name="Comma" xfId="6" builtinId="3"/>
    <cellStyle name="Comma 2 2" xfId="2" xr:uid="{00000000-0005-0000-0000-000000000000}"/>
    <cellStyle name="Currency" xfId="7" builtinId="4"/>
    <cellStyle name="Milliers 2" xfId="3" xr:uid="{00000000-0005-0000-0000-000002000000}"/>
    <cellStyle name="Normal" xfId="0" builtinId="0"/>
    <cellStyle name="Normal 3" xfId="1" xr:uid="{00000000-0005-0000-0000-000004000000}"/>
    <cellStyle name="Percent" xfId="5" builtinId="5"/>
    <cellStyle name="Pourcentage 2"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sca\AppData\Local\Temp\FP_Annex%203B_CBA%20model_15-Janvi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hamade\Documents\02_SYNO_IREEDD\1_Production_1\02_Affaires\AI059_Hydromet_COI\5_Livrables_Janvier_2020\Revision_FHA\FP_Annex%203B_CBA%20model_15-Janvi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tion"/>
      <sheetName val="Resume"/>
      <sheetName val="1-CBA"/>
      <sheetName val="2-Benefits - EWS"/>
      <sheetName val="3-benefits - Agric. Sector"/>
      <sheetName val="4-CBA Sensitivity Analysis"/>
    </sheetNames>
    <sheetDataSet>
      <sheetData sheetId="0" refreshError="1"/>
      <sheetData sheetId="1" refreshError="1"/>
      <sheetData sheetId="2" refreshError="1">
        <row r="36">
          <cell r="C36" t="str">
            <v xml:space="preserve">NPV (M.USD) with the GCF funds </v>
          </cell>
        </row>
        <row r="37">
          <cell r="B37">
            <v>0.05</v>
          </cell>
          <cell r="C37">
            <v>922.72297172736683</v>
          </cell>
        </row>
        <row r="38">
          <cell r="B38">
            <v>0.1</v>
          </cell>
          <cell r="C38">
            <v>373.836060500396</v>
          </cell>
        </row>
        <row r="39">
          <cell r="B39">
            <v>0.15</v>
          </cell>
          <cell r="C39">
            <v>179.16857873224839</v>
          </cell>
        </row>
        <row r="40">
          <cell r="B40">
            <v>0.2</v>
          </cell>
          <cell r="C40">
            <v>91.649540603093186</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tion"/>
      <sheetName val="Resume"/>
      <sheetName val="1-CBA"/>
      <sheetName val="2-Benefits - EWS"/>
      <sheetName val="3-benefits - Agric. Sector"/>
      <sheetName val="4-CBA Sensitivity Analysis"/>
    </sheetNames>
    <sheetDataSet>
      <sheetData sheetId="0" refreshError="1"/>
      <sheetData sheetId="1" refreshError="1"/>
      <sheetData sheetId="2" refreshError="1">
        <row r="36">
          <cell r="C36" t="str">
            <v xml:space="preserve">NPV (M.USD) with the GCF funds </v>
          </cell>
        </row>
        <row r="37">
          <cell r="B37">
            <v>0.05</v>
          </cell>
          <cell r="C37">
            <v>922.72297172736683</v>
          </cell>
        </row>
        <row r="38">
          <cell r="B38">
            <v>0.1</v>
          </cell>
          <cell r="C38">
            <v>373.836060500396</v>
          </cell>
        </row>
        <row r="39">
          <cell r="B39">
            <v>0.15</v>
          </cell>
          <cell r="C39">
            <v>179.16857873224839</v>
          </cell>
        </row>
        <row r="40">
          <cell r="B40">
            <v>0.2</v>
          </cell>
          <cell r="C40">
            <v>91.649540603093186</v>
          </cell>
        </row>
      </sheetData>
      <sheetData sheetId="3" refreshError="1"/>
      <sheetData sheetId="4" refreshError="1"/>
      <sheetData sheetId="5" refreshError="1"/>
    </sheetDataSet>
  </externalBook>
</externalLink>
</file>

<file path=xl/theme/theme1.xml><?xml version="1.0" encoding="utf-8"?>
<a:theme xmlns:a="http://schemas.openxmlformats.org/drawingml/2006/main" name="Thème Office">
  <a:themeElements>
    <a:clrScheme name="Couleurs IREEDD">
      <a:dk1>
        <a:sysClr val="windowText" lastClr="000000"/>
      </a:dk1>
      <a:lt1>
        <a:sysClr val="window" lastClr="FFFFFF"/>
      </a:lt1>
      <a:dk2>
        <a:srgbClr val="51636C"/>
      </a:dk2>
      <a:lt2>
        <a:srgbClr val="E7E6E6"/>
      </a:lt2>
      <a:accent1>
        <a:srgbClr val="8EB116"/>
      </a:accent1>
      <a:accent2>
        <a:srgbClr val="00A4C0"/>
      </a:accent2>
      <a:accent3>
        <a:srgbClr val="A5A5A5"/>
      </a:accent3>
      <a:accent4>
        <a:srgbClr val="FFC000"/>
      </a:accent4>
      <a:accent5>
        <a:srgbClr val="00A4C0"/>
      </a:accent5>
      <a:accent6>
        <a:srgbClr val="8EB116"/>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FAD66-4056-4C7B-B232-9F7429CE2C4E}">
  <dimension ref="A1:O49"/>
  <sheetViews>
    <sheetView tabSelected="1" zoomScale="80" zoomScaleNormal="80" workbookViewId="0">
      <selection activeCell="N55" sqref="N55"/>
    </sheetView>
  </sheetViews>
  <sheetFormatPr defaultColWidth="8.81640625" defaultRowHeight="11.5" x14ac:dyDescent="0.25"/>
  <cols>
    <col min="1" max="1" width="12" style="239" customWidth="1"/>
    <col min="2" max="2" width="16.6328125" style="239" customWidth="1"/>
    <col min="3" max="3" width="37.08984375" style="239" customWidth="1"/>
    <col min="4" max="4" width="12.81640625" style="239" hidden="1" customWidth="1"/>
    <col min="5" max="7" width="11.81640625" style="239" hidden="1" customWidth="1"/>
    <col min="8" max="8" width="12.81640625" style="239" hidden="1" customWidth="1"/>
    <col min="9" max="9" width="12.6328125" style="239" hidden="1" customWidth="1"/>
    <col min="10" max="10" width="14.81640625" style="239" hidden="1" customWidth="1"/>
    <col min="11" max="11" width="12.1796875" style="227" customWidth="1"/>
    <col min="12" max="12" width="12.90625" style="227" customWidth="1"/>
    <col min="13" max="13" width="12.1796875" style="227" customWidth="1"/>
    <col min="14" max="14" width="11.08984375" style="227" customWidth="1"/>
    <col min="15" max="15" width="10.81640625" style="227" customWidth="1"/>
    <col min="16" max="16384" width="8.81640625" style="239"/>
  </cols>
  <sheetData>
    <row r="1" spans="1:15" s="238" customFormat="1" ht="12" thickBot="1" x14ac:dyDescent="0.3">
      <c r="A1" s="219" t="s">
        <v>131</v>
      </c>
      <c r="B1" s="220" t="s">
        <v>132</v>
      </c>
      <c r="C1" s="220" t="s">
        <v>133</v>
      </c>
      <c r="D1" s="220" t="s">
        <v>134</v>
      </c>
      <c r="E1" s="220" t="s">
        <v>135</v>
      </c>
      <c r="F1" s="220" t="s">
        <v>104</v>
      </c>
      <c r="G1" s="220" t="s">
        <v>108</v>
      </c>
      <c r="H1" s="237" t="s">
        <v>190</v>
      </c>
      <c r="I1" s="237" t="s">
        <v>264</v>
      </c>
      <c r="J1" s="237" t="s">
        <v>265</v>
      </c>
      <c r="K1" s="221" t="s">
        <v>108</v>
      </c>
      <c r="L1" s="221" t="s">
        <v>85</v>
      </c>
      <c r="M1" s="221" t="s">
        <v>104</v>
      </c>
      <c r="N1" s="221" t="s">
        <v>105</v>
      </c>
      <c r="O1" s="221" t="s">
        <v>309</v>
      </c>
    </row>
    <row r="2" spans="1:15" ht="23.5" thickBot="1" x14ac:dyDescent="0.3">
      <c r="A2" s="270" t="s">
        <v>136</v>
      </c>
      <c r="B2" s="276" t="s">
        <v>201</v>
      </c>
      <c r="C2" s="176" t="s">
        <v>213</v>
      </c>
      <c r="D2" s="172">
        <v>300000</v>
      </c>
      <c r="E2" s="172"/>
      <c r="F2" s="172"/>
      <c r="G2" s="172"/>
      <c r="H2" s="173">
        <f>REGIONAL!U21</f>
        <v>0</v>
      </c>
      <c r="I2" s="174">
        <f>REGIONAL!V21</f>
        <v>0</v>
      </c>
      <c r="J2" s="174">
        <f>REGIONAL!W22</f>
        <v>300000</v>
      </c>
      <c r="K2" s="226">
        <f>REGIONAL!X21</f>
        <v>0</v>
      </c>
      <c r="L2" s="266">
        <f t="shared" ref="L2:L12" si="0">ROUND(J2*($H$41-$H$40)/$J$40,-3)</f>
        <v>24000</v>
      </c>
      <c r="M2" s="266"/>
      <c r="N2" s="266">
        <f t="shared" ref="N2:N37" si="1">SUM(H2:J2)-SUM(L2:M2)</f>
        <v>276000</v>
      </c>
      <c r="O2" s="265">
        <f t="shared" ref="O2:O12" si="2">SUM(K2:N2)</f>
        <v>300000</v>
      </c>
    </row>
    <row r="3" spans="1:15" ht="35" thickBot="1" x14ac:dyDescent="0.3">
      <c r="A3" s="271"/>
      <c r="B3" s="277"/>
      <c r="C3" s="177" t="s">
        <v>214</v>
      </c>
      <c r="D3" s="172">
        <v>300000</v>
      </c>
      <c r="E3" s="172"/>
      <c r="F3" s="172"/>
      <c r="G3" s="172"/>
      <c r="H3" s="173">
        <f>REGIONAL!U22</f>
        <v>0</v>
      </c>
      <c r="I3" s="173">
        <f>REGIONAL!V22</f>
        <v>0</v>
      </c>
      <c r="J3" s="173">
        <f>REGIONAL!W21</f>
        <v>300000</v>
      </c>
      <c r="K3" s="228">
        <f>REGIONAL!X22</f>
        <v>0</v>
      </c>
      <c r="L3" s="266">
        <f t="shared" si="0"/>
        <v>24000</v>
      </c>
      <c r="M3" s="266"/>
      <c r="N3" s="266">
        <f t="shared" si="1"/>
        <v>276000</v>
      </c>
      <c r="O3" s="265">
        <f t="shared" si="2"/>
        <v>300000</v>
      </c>
    </row>
    <row r="4" spans="1:15" ht="58" thickBot="1" x14ac:dyDescent="0.3">
      <c r="A4" s="271"/>
      <c r="B4" s="277"/>
      <c r="C4" s="177" t="s">
        <v>215</v>
      </c>
      <c r="D4" s="172">
        <v>100000</v>
      </c>
      <c r="E4" s="172"/>
      <c r="F4" s="172"/>
      <c r="G4" s="172"/>
      <c r="H4" s="173">
        <f>REGIONAL!U23+REGIONAL!U24</f>
        <v>0</v>
      </c>
      <c r="I4" s="173">
        <f>REGIONAL!V23+REGIONAL!V24</f>
        <v>0</v>
      </c>
      <c r="J4" s="173">
        <f>REGIONAL!W23+REGIONAL!W24</f>
        <v>100000</v>
      </c>
      <c r="K4" s="228">
        <f>REGIONAL!X23+REGIONAL!X24</f>
        <v>0</v>
      </c>
      <c r="L4" s="266">
        <f t="shared" si="0"/>
        <v>8000</v>
      </c>
      <c r="M4" s="266"/>
      <c r="N4" s="266">
        <f t="shared" si="1"/>
        <v>92000</v>
      </c>
      <c r="O4" s="265">
        <f t="shared" si="2"/>
        <v>100000</v>
      </c>
    </row>
    <row r="5" spans="1:15" ht="23.5" thickBot="1" x14ac:dyDescent="0.3">
      <c r="A5" s="271"/>
      <c r="B5" s="277"/>
      <c r="C5" s="178" t="s">
        <v>137</v>
      </c>
      <c r="D5" s="172">
        <v>150000</v>
      </c>
      <c r="E5" s="172"/>
      <c r="F5" s="172"/>
      <c r="G5" s="172"/>
      <c r="H5" s="173">
        <f>REGIONAL!U25</f>
        <v>0</v>
      </c>
      <c r="I5" s="173">
        <f>REGIONAL!V25</f>
        <v>0</v>
      </c>
      <c r="J5" s="173">
        <f>REGIONAL!W25</f>
        <v>150000</v>
      </c>
      <c r="K5" s="228">
        <f>REGIONAL!X25</f>
        <v>0</v>
      </c>
      <c r="L5" s="266">
        <f t="shared" si="0"/>
        <v>12000</v>
      </c>
      <c r="M5" s="266"/>
      <c r="N5" s="266">
        <f t="shared" si="1"/>
        <v>138000</v>
      </c>
      <c r="O5" s="265">
        <f t="shared" si="2"/>
        <v>150000</v>
      </c>
    </row>
    <row r="6" spans="1:15" ht="35" thickBot="1" x14ac:dyDescent="0.3">
      <c r="A6" s="271"/>
      <c r="B6" s="276" t="s">
        <v>202</v>
      </c>
      <c r="C6" s="178" t="s">
        <v>322</v>
      </c>
      <c r="D6" s="172">
        <v>300000</v>
      </c>
      <c r="E6" s="172"/>
      <c r="F6" s="172"/>
      <c r="G6" s="172"/>
      <c r="H6" s="173">
        <f>SUM('COM Act'!U8,'MAD Act'!U9,'SEY Act'!U7,'MAU Act'!U7)</f>
        <v>0</v>
      </c>
      <c r="I6" s="173">
        <f>SUM('COM Act'!V8,'MAD Act'!V9,'SEY Act'!V7,'MAU Act'!V7)</f>
        <v>0</v>
      </c>
      <c r="J6" s="173">
        <f>SUM('COM Act'!W8,'MAD Act'!W9,'SEY Act'!W7,'MAU Act'!W7)</f>
        <v>400000</v>
      </c>
      <c r="K6" s="228">
        <f>SUM('COM Act'!X8,'MAD Act'!X9,'SEY Act'!X7,'MAU Act'!X7)</f>
        <v>0</v>
      </c>
      <c r="L6" s="266">
        <f t="shared" si="0"/>
        <v>33000</v>
      </c>
      <c r="M6" s="266"/>
      <c r="N6" s="266">
        <f t="shared" si="1"/>
        <v>367000</v>
      </c>
      <c r="O6" s="265">
        <f t="shared" si="2"/>
        <v>400000</v>
      </c>
    </row>
    <row r="7" spans="1:15" ht="35" thickBot="1" x14ac:dyDescent="0.3">
      <c r="A7" s="271"/>
      <c r="B7" s="277"/>
      <c r="C7" s="176" t="s">
        <v>323</v>
      </c>
      <c r="D7" s="172">
        <v>200000</v>
      </c>
      <c r="E7" s="172"/>
      <c r="F7" s="172"/>
      <c r="G7" s="172"/>
      <c r="H7" s="173">
        <f>SUM('COM Act'!U9:U11,'MAD Act'!U10:U12,'SEY Act'!U8:U10,'MAU Act'!U8:U10)</f>
        <v>0</v>
      </c>
      <c r="I7" s="173">
        <f>SUM('COM Act'!V9:V11,'MAD Act'!V10:V12,'SEY Act'!V8:V10,'MAU Act'!V8:V10)</f>
        <v>0</v>
      </c>
      <c r="J7" s="173">
        <f>SUM('COM Act'!W9:W11,'MAD Act'!W10:W12,'SEY Act'!W8:W10,'MAU Act'!W8:W10)</f>
        <v>800000</v>
      </c>
      <c r="K7" s="228">
        <f>SUM('COM Act'!X9:X11,'MAD Act'!X10:X12,'SEY Act'!X8:X10,'MAU Act'!X8:X10)</f>
        <v>0</v>
      </c>
      <c r="L7" s="266">
        <f t="shared" si="0"/>
        <v>65000</v>
      </c>
      <c r="M7" s="266"/>
      <c r="N7" s="266">
        <f t="shared" si="1"/>
        <v>735000</v>
      </c>
      <c r="O7" s="265">
        <f t="shared" si="2"/>
        <v>800000</v>
      </c>
    </row>
    <row r="8" spans="1:15" ht="23.5" thickBot="1" x14ac:dyDescent="0.3">
      <c r="A8" s="271"/>
      <c r="B8" s="276" t="s">
        <v>203</v>
      </c>
      <c r="C8" s="177" t="s">
        <v>204</v>
      </c>
      <c r="D8" s="172">
        <v>3600000</v>
      </c>
      <c r="E8" s="172"/>
      <c r="F8" s="172"/>
      <c r="G8" s="172"/>
      <c r="H8" s="173">
        <f>SUM('COM Act'!U14,'MAD Act'!U15,'SEY Act'!U13,'MAU Act'!U13)</f>
        <v>0</v>
      </c>
      <c r="I8" s="173">
        <f>SUM('COM Act'!V14,'MAD Act'!V15,'SEY Act'!V13,'MAU Act'!V13)</f>
        <v>0</v>
      </c>
      <c r="J8" s="173">
        <f>SUM('COM Act'!W12,'MAD Act'!W13,'SEY Act'!W11,'MAU Act'!W11)</f>
        <v>200000</v>
      </c>
      <c r="K8" s="228">
        <f>SUM('COM Act'!X14,'MAD Act'!X15,'SEY Act'!X13,'MAU Act'!X13)</f>
        <v>0</v>
      </c>
      <c r="L8" s="266">
        <f t="shared" si="0"/>
        <v>16000</v>
      </c>
      <c r="M8" s="266"/>
      <c r="N8" s="266">
        <f t="shared" si="1"/>
        <v>184000</v>
      </c>
      <c r="O8" s="265">
        <f t="shared" si="2"/>
        <v>200000</v>
      </c>
    </row>
    <row r="9" spans="1:15" ht="12" thickBot="1" x14ac:dyDescent="0.3">
      <c r="A9" s="271"/>
      <c r="B9" s="278"/>
      <c r="C9" s="177" t="s">
        <v>217</v>
      </c>
      <c r="D9" s="172">
        <v>2400000</v>
      </c>
      <c r="E9" s="172"/>
      <c r="F9" s="172"/>
      <c r="G9" s="172"/>
      <c r="H9" s="173">
        <f>SUM('COM Act'!U13,'MAD Act'!U14,'SEY Act'!U12,'MAU Act'!U12)</f>
        <v>0</v>
      </c>
      <c r="I9" s="173">
        <f>SUM('COM Act'!V13,'MAD Act'!V14,'SEY Act'!V12,'MAU Act'!V12)</f>
        <v>0</v>
      </c>
      <c r="J9" s="173">
        <f>SUM('COM Act'!W13:W14,'MAD Act'!W14:W15,'SEY Act'!W12:W13,'MAU Act'!W12:W13)</f>
        <v>5040000</v>
      </c>
      <c r="K9" s="228">
        <f>SUM('COM Act'!X13,'MAD Act'!X14,'SEY Act'!X12,'MAU Act'!X12)</f>
        <v>0</v>
      </c>
      <c r="L9" s="266">
        <f t="shared" si="0"/>
        <v>410000</v>
      </c>
      <c r="M9" s="266"/>
      <c r="N9" s="266">
        <f t="shared" si="1"/>
        <v>4630000</v>
      </c>
      <c r="O9" s="265">
        <f t="shared" si="2"/>
        <v>5040000</v>
      </c>
    </row>
    <row r="10" spans="1:15" ht="23.5" thickBot="1" x14ac:dyDescent="0.3">
      <c r="A10" s="271"/>
      <c r="B10" s="276" t="s">
        <v>138</v>
      </c>
      <c r="C10" s="164" t="s">
        <v>310</v>
      </c>
      <c r="D10" s="172"/>
      <c r="E10" s="172"/>
      <c r="F10" s="172"/>
      <c r="G10" s="172"/>
      <c r="H10" s="173">
        <f>SUM('COM Act'!U4,'MAD Act'!U5,'SEY Act'!U3,'MAU Act'!U3)</f>
        <v>0</v>
      </c>
      <c r="I10" s="173">
        <f>SUM('COM Act'!V4,'MAD Act'!V5,'SEY Act'!V3,'MAU Act'!V3)</f>
        <v>0</v>
      </c>
      <c r="J10" s="173">
        <f>SUM('COM Act'!W4,'MAD Act'!W5,'SEY Act'!W3,'MAU Act'!W3)</f>
        <v>40000</v>
      </c>
      <c r="K10" s="228">
        <f>SUM('COM Act'!X4,'MAD Act'!X5,'SEY Act'!X3,'MAU Act'!X3)</f>
        <v>0</v>
      </c>
      <c r="L10" s="266">
        <f t="shared" si="0"/>
        <v>3000</v>
      </c>
      <c r="M10" s="266"/>
      <c r="N10" s="266">
        <f t="shared" ref="N10" si="3">SUM(H10:J10)-SUM(L10:M10)</f>
        <v>37000</v>
      </c>
      <c r="O10" s="265">
        <f t="shared" si="2"/>
        <v>40000</v>
      </c>
    </row>
    <row r="11" spans="1:15" ht="23.5" thickBot="1" x14ac:dyDescent="0.3">
      <c r="A11" s="271"/>
      <c r="B11" s="277"/>
      <c r="C11" s="164" t="s">
        <v>307</v>
      </c>
      <c r="D11" s="172">
        <v>500000</v>
      </c>
      <c r="E11" s="172"/>
      <c r="F11" s="172"/>
      <c r="G11" s="172"/>
      <c r="H11" s="173">
        <f>SUM('COM Act'!U5,'MAD Act'!U6,'SEY Act'!U4,'MAU Act'!U4)</f>
        <v>0</v>
      </c>
      <c r="I11" s="173">
        <f>SUM('COM Act'!V5,'MAD Act'!V6,'SEY Act'!V4,'MAU Act'!V4)</f>
        <v>0</v>
      </c>
      <c r="J11" s="173">
        <f>SUM('COM Act'!W5,'MAD Act'!W6,'SEY Act'!W4,'MAU Act'!W4)</f>
        <v>560000</v>
      </c>
      <c r="K11" s="228">
        <f>SUM('COM Act'!X5,'MAD Act'!X6,'SEY Act'!X4,'MAU Act'!X4)</f>
        <v>0</v>
      </c>
      <c r="L11" s="266">
        <f t="shared" si="0"/>
        <v>46000</v>
      </c>
      <c r="M11" s="266"/>
      <c r="N11" s="266">
        <f t="shared" si="1"/>
        <v>514000</v>
      </c>
      <c r="O11" s="265">
        <f t="shared" si="2"/>
        <v>560000</v>
      </c>
    </row>
    <row r="12" spans="1:15" ht="35" thickBot="1" x14ac:dyDescent="0.3">
      <c r="A12" s="271"/>
      <c r="B12" s="278"/>
      <c r="C12" s="177" t="s">
        <v>308</v>
      </c>
      <c r="D12" s="172">
        <v>2000000</v>
      </c>
      <c r="E12" s="172" t="s">
        <v>320</v>
      </c>
      <c r="F12" s="172" t="s">
        <v>320</v>
      </c>
      <c r="G12" s="172" t="s">
        <v>320</v>
      </c>
      <c r="H12" s="173">
        <f>SUM('COM Act'!U6:U7,'MAD Act'!U7:U8,'SEY Act'!U5:U6,'MAU Act'!U5:U6)</f>
        <v>0</v>
      </c>
      <c r="I12" s="173">
        <f>SUM('COM Act'!V6:V7,'MAD Act'!V7:V8,'SEY Act'!V5:V6,'MAU Act'!V5:V6)</f>
        <v>0</v>
      </c>
      <c r="J12" s="173">
        <f>SUM('COM Act'!W6:W7,'MAD Act'!W7:W8,'SEY Act'!W5:W6,'MAU Act'!W5:W6)</f>
        <v>1696000</v>
      </c>
      <c r="K12" s="228">
        <f>SUM('COM Act'!X6:X7,'MAD Act'!X7:X8,'SEY Act'!X5:X6,'MAU Act'!X5:X6)</f>
        <v>0</v>
      </c>
      <c r="L12" s="266">
        <f t="shared" si="0"/>
        <v>138000</v>
      </c>
      <c r="M12" s="266"/>
      <c r="N12" s="266">
        <f t="shared" si="1"/>
        <v>1558000</v>
      </c>
      <c r="O12" s="265">
        <f t="shared" si="2"/>
        <v>1696000</v>
      </c>
    </row>
    <row r="13" spans="1:15" s="238" customFormat="1" ht="12" thickBot="1" x14ac:dyDescent="0.3">
      <c r="A13" s="256"/>
      <c r="B13" s="268" t="s">
        <v>314</v>
      </c>
      <c r="C13" s="269"/>
      <c r="D13" s="257"/>
      <c r="E13" s="257"/>
      <c r="F13" s="257"/>
      <c r="G13" s="257"/>
      <c r="H13" s="258"/>
      <c r="I13" s="258"/>
      <c r="J13" s="258"/>
      <c r="K13" s="255">
        <f>SUM(K2:K12)</f>
        <v>0</v>
      </c>
      <c r="L13" s="255">
        <f>SUM(L2:L12)</f>
        <v>779000</v>
      </c>
      <c r="M13" s="255">
        <f>SUM(M2:M12)</f>
        <v>0</v>
      </c>
      <c r="N13" s="259">
        <f>SUM(N2:N12)</f>
        <v>8807000</v>
      </c>
      <c r="O13" s="255">
        <f>SUM(O2:O12)</f>
        <v>9586000</v>
      </c>
    </row>
    <row r="14" spans="1:15" s="238" customFormat="1" ht="12" thickBot="1" x14ac:dyDescent="0.3">
      <c r="A14" s="219" t="s">
        <v>131</v>
      </c>
      <c r="B14" s="220" t="s">
        <v>132</v>
      </c>
      <c r="C14" s="220" t="s">
        <v>133</v>
      </c>
      <c r="D14" s="220" t="s">
        <v>134</v>
      </c>
      <c r="E14" s="220" t="s">
        <v>135</v>
      </c>
      <c r="F14" s="220" t="s">
        <v>104</v>
      </c>
      <c r="G14" s="220" t="s">
        <v>108</v>
      </c>
      <c r="H14" s="250" t="s">
        <v>190</v>
      </c>
      <c r="I14" s="250" t="s">
        <v>264</v>
      </c>
      <c r="J14" s="250" t="s">
        <v>265</v>
      </c>
      <c r="K14" s="251" t="s">
        <v>108</v>
      </c>
      <c r="L14" s="251" t="s">
        <v>85</v>
      </c>
      <c r="M14" s="251" t="s">
        <v>104</v>
      </c>
      <c r="N14" s="251" t="s">
        <v>105</v>
      </c>
      <c r="O14" s="252" t="s">
        <v>309</v>
      </c>
    </row>
    <row r="15" spans="1:15" ht="30" customHeight="1" thickBot="1" x14ac:dyDescent="0.3">
      <c r="A15" s="270" t="s">
        <v>139</v>
      </c>
      <c r="B15" s="273" t="s">
        <v>140</v>
      </c>
      <c r="C15" s="164" t="s">
        <v>141</v>
      </c>
      <c r="D15" s="172">
        <v>16000000</v>
      </c>
      <c r="E15" s="172">
        <v>3000000</v>
      </c>
      <c r="F15" s="172"/>
      <c r="G15" s="172">
        <v>2000000</v>
      </c>
      <c r="H15" s="217">
        <f>SUM('COM Act'!U19:U35,'MAD Act'!U20:U36,'SEY Act'!U20:U35,'MAU Act'!U20:U35)</f>
        <v>800000</v>
      </c>
      <c r="I15" s="173">
        <f>SUM('COM Act'!V19:V35,'MAD Act'!V20:V36,'SEY Act'!V20:V35,'MAU Act'!V20:V35)</f>
        <v>0</v>
      </c>
      <c r="J15" s="173">
        <f>SUM('COM Act'!W19:W35,'MAD Act'!W20:W36,'SEY Act'!W20:W35,'MAU Act'!W20:W35)</f>
        <v>19553500</v>
      </c>
      <c r="K15" s="228">
        <f>SUM('COM Act'!X19:X35,'MAD Act'!X20:X36,'SEY Act'!X20:X35,'MAU Act'!X20:X35)</f>
        <v>1000000</v>
      </c>
      <c r="L15" s="266">
        <f t="shared" ref="L15:L24" si="4">ROUND(J15*($H$41-$H$40)/$J$40,-3)</f>
        <v>1590000</v>
      </c>
      <c r="M15" s="266"/>
      <c r="N15" s="266">
        <f t="shared" si="1"/>
        <v>18763500</v>
      </c>
      <c r="O15" s="265">
        <f t="shared" ref="O15:O24" si="5">SUM(K15:N15)</f>
        <v>21353500</v>
      </c>
    </row>
    <row r="16" spans="1:15" ht="37" customHeight="1" thickBot="1" x14ac:dyDescent="0.3">
      <c r="A16" s="271"/>
      <c r="B16" s="274"/>
      <c r="C16" s="164" t="s">
        <v>142</v>
      </c>
      <c r="D16" s="172">
        <v>17000000</v>
      </c>
      <c r="E16" s="172">
        <v>2000000</v>
      </c>
      <c r="F16" s="172">
        <v>500000</v>
      </c>
      <c r="G16" s="172"/>
      <c r="H16" s="173">
        <f>SUM('COM Act'!U41:U50,'MAD Act'!U42:U51,'SEY Act'!U41:U50,'MAU Act'!U41:U49)</f>
        <v>0</v>
      </c>
      <c r="I16" s="173">
        <f>SUM('COM Act'!V41:V50,'MAD Act'!V42:V51,'SEY Act'!V41:V50,'MAU Act'!V41:V49)</f>
        <v>0</v>
      </c>
      <c r="J16" s="173">
        <f>SUM('COM Act'!W41:W50,'MAD Act'!W42:W51,'SEY Act'!W41:W50,'MAU Act'!W41:W49)</f>
        <v>10300000</v>
      </c>
      <c r="K16" s="228">
        <f>SUM('COM Act'!X41:X50,'MAD Act'!X42:X51,'SEY Act'!X41:X50,'MAU Act'!X41:X49)</f>
        <v>0</v>
      </c>
      <c r="L16" s="266">
        <f t="shared" si="4"/>
        <v>838000</v>
      </c>
      <c r="M16" s="266"/>
      <c r="N16" s="266">
        <f t="shared" si="1"/>
        <v>9462000</v>
      </c>
      <c r="O16" s="265">
        <f t="shared" si="5"/>
        <v>10300000</v>
      </c>
    </row>
    <row r="17" spans="1:15" ht="23.5" thickBot="1" x14ac:dyDescent="0.3">
      <c r="A17" s="271"/>
      <c r="B17" s="275" t="s">
        <v>143</v>
      </c>
      <c r="C17" s="164" t="s">
        <v>311</v>
      </c>
      <c r="D17" s="172"/>
      <c r="E17" s="172">
        <v>800000</v>
      </c>
      <c r="F17" s="172"/>
      <c r="G17" s="172"/>
      <c r="H17" s="173">
        <f>REGIONAL!U35</f>
        <v>0</v>
      </c>
      <c r="I17" s="173">
        <f>REGIONAL!V35</f>
        <v>0</v>
      </c>
      <c r="J17" s="173">
        <f>REGIONAL!W35</f>
        <v>800000</v>
      </c>
      <c r="K17" s="228">
        <f>REGIONAL!X35</f>
        <v>0</v>
      </c>
      <c r="L17" s="266">
        <f t="shared" si="4"/>
        <v>65000</v>
      </c>
      <c r="M17" s="266"/>
      <c r="N17" s="266">
        <f t="shared" si="1"/>
        <v>735000</v>
      </c>
      <c r="O17" s="265">
        <f t="shared" si="5"/>
        <v>800000</v>
      </c>
    </row>
    <row r="18" spans="1:15" ht="23.5" thickBot="1" x14ac:dyDescent="0.3">
      <c r="A18" s="271"/>
      <c r="B18" s="275"/>
      <c r="C18" s="164" t="s">
        <v>144</v>
      </c>
      <c r="D18" s="172"/>
      <c r="E18" s="172">
        <v>500000</v>
      </c>
      <c r="F18" s="172"/>
      <c r="G18" s="172"/>
      <c r="H18" s="173">
        <f>REGIONAL!U44</f>
        <v>0</v>
      </c>
      <c r="I18" s="173">
        <f>REGIONAL!V44</f>
        <v>0</v>
      </c>
      <c r="J18" s="173">
        <f>REGIONAL!W44</f>
        <v>700000</v>
      </c>
      <c r="K18" s="228">
        <f>REGIONAL!X44</f>
        <v>0</v>
      </c>
      <c r="L18" s="266">
        <f t="shared" si="4"/>
        <v>57000</v>
      </c>
      <c r="M18" s="266"/>
      <c r="N18" s="266">
        <f t="shared" si="1"/>
        <v>643000</v>
      </c>
      <c r="O18" s="265">
        <f t="shared" si="5"/>
        <v>700000</v>
      </c>
    </row>
    <row r="19" spans="1:15" ht="35" thickBot="1" x14ac:dyDescent="0.3">
      <c r="A19" s="271"/>
      <c r="B19" s="276" t="s">
        <v>145</v>
      </c>
      <c r="C19" s="181" t="s">
        <v>316</v>
      </c>
      <c r="D19" s="174">
        <v>2000000</v>
      </c>
      <c r="E19" s="174"/>
      <c r="F19" s="174"/>
      <c r="G19" s="174"/>
      <c r="H19" s="173">
        <f>SUM(REGIONAL!U45)</f>
        <v>0</v>
      </c>
      <c r="I19" s="173">
        <f>SUM(REGIONAL!V45)</f>
        <v>0</v>
      </c>
      <c r="J19" s="173">
        <f>SUM(REGIONAL!W45)</f>
        <v>500000</v>
      </c>
      <c r="K19" s="228">
        <f>SUM(REGIONAL!X45)</f>
        <v>0</v>
      </c>
      <c r="L19" s="266">
        <f t="shared" si="4"/>
        <v>41000</v>
      </c>
      <c r="M19" s="266"/>
      <c r="N19" s="266">
        <f t="shared" si="1"/>
        <v>459000</v>
      </c>
      <c r="O19" s="265">
        <f t="shared" si="5"/>
        <v>500000</v>
      </c>
    </row>
    <row r="20" spans="1:15" ht="23.5" thickBot="1" x14ac:dyDescent="0.3">
      <c r="A20" s="271"/>
      <c r="B20" s="277"/>
      <c r="C20" s="180" t="s">
        <v>225</v>
      </c>
      <c r="D20" s="172">
        <v>500000</v>
      </c>
      <c r="E20" s="172"/>
      <c r="F20" s="172">
        <v>500000</v>
      </c>
      <c r="G20" s="172"/>
      <c r="H20" s="173">
        <f>SUM(REGIONAL!U46)</f>
        <v>0</v>
      </c>
      <c r="I20" s="173">
        <f>SUM(REGIONAL!V46)</f>
        <v>0</v>
      </c>
      <c r="J20" s="173">
        <f>SUM(REGIONAL!W46)</f>
        <v>700000</v>
      </c>
      <c r="K20" s="228">
        <f>SUM(REGIONAL!X46)</f>
        <v>0</v>
      </c>
      <c r="L20" s="266">
        <f t="shared" si="4"/>
        <v>57000</v>
      </c>
      <c r="M20" s="266"/>
      <c r="N20" s="266">
        <f t="shared" si="1"/>
        <v>643000</v>
      </c>
      <c r="O20" s="265">
        <f t="shared" si="5"/>
        <v>700000</v>
      </c>
    </row>
    <row r="21" spans="1:15" ht="23.5" thickBot="1" x14ac:dyDescent="0.3">
      <c r="A21" s="271"/>
      <c r="B21" s="277"/>
      <c r="C21" s="180" t="s">
        <v>205</v>
      </c>
      <c r="D21" s="172">
        <v>500000</v>
      </c>
      <c r="E21" s="172"/>
      <c r="F21" s="172">
        <v>500000</v>
      </c>
      <c r="G21" s="172"/>
      <c r="H21" s="173">
        <f>SUM(REGIONAL!U47)</f>
        <v>0</v>
      </c>
      <c r="I21" s="173">
        <f>SUM(REGIONAL!V47)</f>
        <v>0</v>
      </c>
      <c r="J21" s="173">
        <f>SUM(REGIONAL!W47)</f>
        <v>500000</v>
      </c>
      <c r="K21" s="228">
        <f>SUM(REGIONAL!X47)</f>
        <v>0</v>
      </c>
      <c r="L21" s="266">
        <f t="shared" si="4"/>
        <v>41000</v>
      </c>
      <c r="M21" s="266"/>
      <c r="N21" s="266">
        <f t="shared" si="1"/>
        <v>459000</v>
      </c>
      <c r="O21" s="265">
        <f t="shared" si="5"/>
        <v>500000</v>
      </c>
    </row>
    <row r="22" spans="1:15" ht="35" thickBot="1" x14ac:dyDescent="0.3">
      <c r="A22" s="271"/>
      <c r="B22" s="277"/>
      <c r="C22" s="180" t="s">
        <v>206</v>
      </c>
      <c r="D22" s="172">
        <v>500000</v>
      </c>
      <c r="E22" s="172"/>
      <c r="F22" s="172">
        <v>500000</v>
      </c>
      <c r="G22" s="172"/>
      <c r="H22" s="173">
        <f>SUM(REGIONAL!U48)</f>
        <v>0</v>
      </c>
      <c r="I22" s="173">
        <f>SUM(REGIONAL!V48)</f>
        <v>0</v>
      </c>
      <c r="J22" s="173">
        <f>SUM(REGIONAL!W48)</f>
        <v>500000</v>
      </c>
      <c r="K22" s="228">
        <f>SUM(REGIONAL!X48)</f>
        <v>0</v>
      </c>
      <c r="L22" s="266">
        <f t="shared" si="4"/>
        <v>41000</v>
      </c>
      <c r="M22" s="266"/>
      <c r="N22" s="266">
        <f t="shared" si="1"/>
        <v>459000</v>
      </c>
      <c r="O22" s="265">
        <f t="shared" si="5"/>
        <v>500000</v>
      </c>
    </row>
    <row r="23" spans="1:15" ht="12" thickBot="1" x14ac:dyDescent="0.3">
      <c r="A23" s="271"/>
      <c r="B23" s="277"/>
      <c r="C23" s="180" t="s">
        <v>207</v>
      </c>
      <c r="D23" s="172">
        <v>500000</v>
      </c>
      <c r="E23" s="172"/>
      <c r="F23" s="172">
        <v>500000</v>
      </c>
      <c r="G23" s="172"/>
      <c r="H23" s="173">
        <f>SUM('COM Act'!U51,'MAD Act'!U52,'SEY Act'!U51,'MAU Act'!U50)</f>
        <v>0</v>
      </c>
      <c r="I23" s="173">
        <f>SUM('COM Act'!V51,'MAD Act'!V52,'SEY Act'!V51,'MAU Act'!V50)</f>
        <v>0</v>
      </c>
      <c r="J23" s="173">
        <f>SUM('COM Act'!W51,'MAD Act'!W52,'SEY Act'!W51,'MAU Act'!W50)</f>
        <v>1200000</v>
      </c>
      <c r="K23" s="228">
        <f>SUM('COM Act'!X51,'MAD Act'!X52,'SEY Act'!X51,'MAU Act'!X50)</f>
        <v>0</v>
      </c>
      <c r="L23" s="266">
        <f t="shared" si="4"/>
        <v>98000</v>
      </c>
      <c r="M23" s="266"/>
      <c r="N23" s="266">
        <f t="shared" si="1"/>
        <v>1102000</v>
      </c>
      <c r="O23" s="265">
        <f t="shared" si="5"/>
        <v>1200000</v>
      </c>
    </row>
    <row r="24" spans="1:15" ht="23.5" thickBot="1" x14ac:dyDescent="0.3">
      <c r="A24" s="272"/>
      <c r="B24" s="278"/>
      <c r="C24" s="180" t="s">
        <v>218</v>
      </c>
      <c r="D24" s="172">
        <v>500000</v>
      </c>
      <c r="E24" s="172"/>
      <c r="F24" s="172">
        <v>500000</v>
      </c>
      <c r="G24" s="172"/>
      <c r="H24" s="173">
        <f>SUM('COM Act'!U52,'COM Act'!U73:U76,'MAD Act'!U53,'MAD Act'!U73:U75,'SEY Act'!U52,'SEY Act'!U72:U74,'MAU Act'!U51,'MAU Act'!U71:U73)</f>
        <v>0</v>
      </c>
      <c r="I24" s="173">
        <f>SUM('COM Act'!V52,'COM Act'!V73:V76,'MAD Act'!V53,'MAD Act'!V73:V75,'SEY Act'!V52,'SEY Act'!V72:V74,'MAU Act'!V51,'MAU Act'!V71:V73)</f>
        <v>0</v>
      </c>
      <c r="J24" s="173">
        <f>SUM('COM Act'!W52,'COM Act'!W73:W76,'MAD Act'!W53,'MAD Act'!W73:W75,'SEY Act'!W52,'SEY Act'!W72:W74,'MAU Act'!W51,'MAU Act'!W71:W73)</f>
        <v>4170000</v>
      </c>
      <c r="K24" s="228">
        <f>SUM('COM Act'!X52,'COM Act'!X73:X76,'MAD Act'!X53,'MAD Act'!X73:X75,'SEY Act'!X52,'SEY Act'!X72:X74,'MAU Act'!X51,'MAU Act'!X71:X73)</f>
        <v>0</v>
      </c>
      <c r="L24" s="266">
        <f t="shared" si="4"/>
        <v>339000</v>
      </c>
      <c r="M24" s="266"/>
      <c r="N24" s="266">
        <f t="shared" si="1"/>
        <v>3831000</v>
      </c>
      <c r="O24" s="265">
        <f t="shared" si="5"/>
        <v>4170000</v>
      </c>
    </row>
    <row r="25" spans="1:15" s="238" customFormat="1" ht="12" thickBot="1" x14ac:dyDescent="0.3">
      <c r="A25" s="260"/>
      <c r="B25" s="268" t="s">
        <v>315</v>
      </c>
      <c r="C25" s="269"/>
      <c r="D25" s="257"/>
      <c r="E25" s="257"/>
      <c r="F25" s="257"/>
      <c r="G25" s="257"/>
      <c r="H25" s="258"/>
      <c r="I25" s="258"/>
      <c r="J25" s="258"/>
      <c r="K25" s="255">
        <f>SUM(K15:K24)</f>
        <v>1000000</v>
      </c>
      <c r="L25" s="255">
        <f>SUM(L15:L24)</f>
        <v>3167000</v>
      </c>
      <c r="M25" s="255">
        <f>SUM(M15:M24)</f>
        <v>0</v>
      </c>
      <c r="N25" s="255">
        <f>SUM(N15:N24)</f>
        <v>36556500</v>
      </c>
      <c r="O25" s="255">
        <f>SUM(O15:O24)</f>
        <v>40723500</v>
      </c>
    </row>
    <row r="26" spans="1:15" s="238" customFormat="1" ht="12" thickBot="1" x14ac:dyDescent="0.3">
      <c r="A26" s="219" t="s">
        <v>131</v>
      </c>
      <c r="B26" s="220" t="s">
        <v>132</v>
      </c>
      <c r="C26" s="220" t="s">
        <v>133</v>
      </c>
      <c r="D26" s="220" t="s">
        <v>134</v>
      </c>
      <c r="E26" s="220" t="s">
        <v>135</v>
      </c>
      <c r="F26" s="220" t="s">
        <v>104</v>
      </c>
      <c r="G26" s="220" t="s">
        <v>108</v>
      </c>
      <c r="H26" s="250" t="s">
        <v>190</v>
      </c>
      <c r="I26" s="250" t="s">
        <v>264</v>
      </c>
      <c r="J26" s="250" t="s">
        <v>265</v>
      </c>
      <c r="K26" s="222" t="s">
        <v>108</v>
      </c>
      <c r="L26" s="223" t="s">
        <v>85</v>
      </c>
      <c r="M26" s="223" t="s">
        <v>104</v>
      </c>
      <c r="N26" s="223" t="s">
        <v>105</v>
      </c>
      <c r="O26" s="224" t="s">
        <v>309</v>
      </c>
    </row>
    <row r="27" spans="1:15" ht="56.5" customHeight="1" thickBot="1" x14ac:dyDescent="0.3">
      <c r="A27" s="270" t="s">
        <v>146</v>
      </c>
      <c r="B27" s="273" t="s">
        <v>212</v>
      </c>
      <c r="C27" s="183" t="s">
        <v>317</v>
      </c>
      <c r="D27" s="172">
        <v>1000000</v>
      </c>
      <c r="E27" s="172"/>
      <c r="F27" s="172">
        <v>500000</v>
      </c>
      <c r="G27" s="172"/>
      <c r="H27" s="172">
        <f>SUM('COM Act'!U59:U62,'COM Act'!U71,'MAD Act'!U59:U62,'MAD Act'!U71,'SEY Act'!U58:U61,'SEY Act'!U70,'MAU Act'!U57:U60,'MAU Act'!U69)</f>
        <v>0</v>
      </c>
      <c r="I27" s="172">
        <f>SUM('COM Act'!V59:V62,'COM Act'!V71,'MAD Act'!V59:V62,'MAD Act'!V71,'SEY Act'!V58:V61,'SEY Act'!V70,'MAU Act'!V57:V60,'MAU Act'!V69)</f>
        <v>6330000</v>
      </c>
      <c r="J27" s="172">
        <f>SUM('COM Act'!W59:W62,'COM Act'!W71,'MAD Act'!W59:W62,'MAD Act'!W71,'SEY Act'!W58:W61,'SEY Act'!W70,'MAU Act'!W57:W60,'MAU Act'!W69)</f>
        <v>0</v>
      </c>
      <c r="K27" s="229">
        <f>SUM('COM Act'!X59:X62,'COM Act'!X71,'MAD Act'!X59:X62,'MAD Act'!X71,'SEY Act'!X58:X61,'SEY Act'!X70,'MAU Act'!X57:X60,'MAU Act'!X69)</f>
        <v>0</v>
      </c>
      <c r="L27" s="266">
        <f>ROUND((I27-M27)*($H$41-$H$40)/($J$40-I32),-3)</f>
        <v>281000</v>
      </c>
      <c r="M27" s="266">
        <f>ROUND(I27*$I$41/$I$40,-3)</f>
        <v>3021000</v>
      </c>
      <c r="N27" s="266">
        <f t="shared" si="1"/>
        <v>3028000</v>
      </c>
      <c r="O27" s="265">
        <f t="shared" ref="O27:O34" si="6">SUM(K27:N27)</f>
        <v>6330000</v>
      </c>
    </row>
    <row r="28" spans="1:15" ht="41.5" customHeight="1" thickBot="1" x14ac:dyDescent="0.3">
      <c r="A28" s="271"/>
      <c r="B28" s="275"/>
      <c r="C28" s="181" t="s">
        <v>312</v>
      </c>
      <c r="D28" s="172">
        <v>1000000</v>
      </c>
      <c r="E28" s="172"/>
      <c r="F28" s="172">
        <v>500000</v>
      </c>
      <c r="G28" s="172"/>
      <c r="H28" s="173">
        <f>SUM('COM Act'!U63,'COM Act'!U72,'MAD Act'!U63,'MAD Act'!U72,'SEY Act'!U62,'SEY Act'!U71,'MAU Act'!U61,'MAU Act'!U70)</f>
        <v>0</v>
      </c>
      <c r="I28" s="173">
        <f>SUM('COM Act'!V63,'COM Act'!V72,'MAD Act'!V63,'MAD Act'!V72,'SEY Act'!V62,'SEY Act'!V71,'MAU Act'!V61,'MAU Act'!V70)</f>
        <v>2640000</v>
      </c>
      <c r="J28" s="173">
        <f>SUM('COM Act'!W63,'COM Act'!W72,'MAD Act'!W63,'MAD Act'!W72,'SEY Act'!W62,'SEY Act'!W71,'MAU Act'!W61,'MAU Act'!W70)</f>
        <v>0</v>
      </c>
      <c r="K28" s="228">
        <f>SUM('COM Act'!X63,'COM Act'!X72,'MAD Act'!X63,'MAD Act'!X72,'SEY Act'!X62,'SEY Act'!X71,'MAU Act'!X61,'MAU Act'!X70)</f>
        <v>0</v>
      </c>
      <c r="L28" s="266">
        <f>ROUND((I28-M28)*($H$41-$H$40)/($J$40-I33),-3)</f>
        <v>112000</v>
      </c>
      <c r="M28" s="266">
        <f t="shared" ref="M28:M32" si="7">ROUND(I28*$I$41/$I$40,-3)</f>
        <v>1260000</v>
      </c>
      <c r="N28" s="266">
        <f t="shared" si="1"/>
        <v>1268000</v>
      </c>
      <c r="O28" s="265">
        <f t="shared" si="6"/>
        <v>2640000</v>
      </c>
    </row>
    <row r="29" spans="1:15" ht="64" customHeight="1" thickBot="1" x14ac:dyDescent="0.3">
      <c r="A29" s="271"/>
      <c r="B29" s="273" t="s">
        <v>211</v>
      </c>
      <c r="C29" s="182" t="s">
        <v>226</v>
      </c>
      <c r="D29" s="172">
        <v>500000</v>
      </c>
      <c r="E29" s="172"/>
      <c r="F29" s="172">
        <v>500000</v>
      </c>
      <c r="G29" s="172"/>
      <c r="H29" s="184">
        <f>SUM(REGIONAL!U28:U29)</f>
        <v>0</v>
      </c>
      <c r="I29" s="184">
        <f>SUM(REGIONAL!V28)</f>
        <v>400000</v>
      </c>
      <c r="J29" s="184">
        <f>SUM(REGIONAL!W28:W29)</f>
        <v>0</v>
      </c>
      <c r="K29" s="230">
        <f>SUM(REGIONAL!X28:X29)</f>
        <v>0</v>
      </c>
      <c r="L29" s="267">
        <f>ROUND((I29-M29)*($H$41-$H$40)/($J$40-I34),-3)</f>
        <v>17000</v>
      </c>
      <c r="M29" s="267">
        <f t="shared" si="7"/>
        <v>191000</v>
      </c>
      <c r="N29" s="267">
        <f t="shared" si="1"/>
        <v>192000</v>
      </c>
      <c r="O29" s="265">
        <f t="shared" si="6"/>
        <v>400000</v>
      </c>
    </row>
    <row r="30" spans="1:15" ht="76.5" customHeight="1" thickBot="1" x14ac:dyDescent="0.3">
      <c r="A30" s="271"/>
      <c r="B30" s="274"/>
      <c r="C30" s="181" t="s">
        <v>313</v>
      </c>
      <c r="D30" s="172">
        <v>1000000</v>
      </c>
      <c r="E30" s="172"/>
      <c r="F30" s="172">
        <v>500000</v>
      </c>
      <c r="G30" s="172"/>
      <c r="H30" s="184">
        <f>REGIONAL!U27</f>
        <v>0</v>
      </c>
      <c r="I30" s="184">
        <f>REGIONAL!V27</f>
        <v>400000</v>
      </c>
      <c r="J30" s="184">
        <f>REGIONAL!W27</f>
        <v>0</v>
      </c>
      <c r="K30" s="230">
        <f>REGIONAL!X27</f>
        <v>0</v>
      </c>
      <c r="L30" s="267">
        <f>ROUND((I30-M30)*($H$41-$H$40)/($J$40-I37),-3)</f>
        <v>17000</v>
      </c>
      <c r="M30" s="267">
        <f t="shared" si="7"/>
        <v>191000</v>
      </c>
      <c r="N30" s="267">
        <f t="shared" si="1"/>
        <v>192000</v>
      </c>
      <c r="O30" s="265">
        <f t="shared" si="6"/>
        <v>400000</v>
      </c>
    </row>
    <row r="31" spans="1:15" ht="44.5" customHeight="1" thickBot="1" x14ac:dyDescent="0.3">
      <c r="A31" s="271"/>
      <c r="B31" s="273" t="s">
        <v>210</v>
      </c>
      <c r="C31" s="185" t="s">
        <v>229</v>
      </c>
      <c r="D31" s="172">
        <v>500000</v>
      </c>
      <c r="E31" s="172"/>
      <c r="F31" s="172">
        <v>500000</v>
      </c>
      <c r="G31" s="172"/>
      <c r="H31" s="184">
        <f>SUM(REGIONAL!U29)</f>
        <v>0</v>
      </c>
      <c r="I31" s="184">
        <f>SUM(REGIONAL!V29)</f>
        <v>400000</v>
      </c>
      <c r="J31" s="184">
        <f>SUM(REGIONAL!W29)</f>
        <v>0</v>
      </c>
      <c r="K31" s="230">
        <f>SUM(REGIONAL!X29)</f>
        <v>0</v>
      </c>
      <c r="L31" s="267">
        <f>ROUND((I31-M31)*($H$41-$H$40)/($J$40-I38),-3)</f>
        <v>17000</v>
      </c>
      <c r="M31" s="267">
        <f t="shared" si="7"/>
        <v>191000</v>
      </c>
      <c r="N31" s="267">
        <f t="shared" si="1"/>
        <v>192000</v>
      </c>
      <c r="O31" s="265">
        <f t="shared" si="6"/>
        <v>400000</v>
      </c>
    </row>
    <row r="32" spans="1:15" ht="69.5" thickBot="1" x14ac:dyDescent="0.3">
      <c r="A32" s="271"/>
      <c r="B32" s="275"/>
      <c r="C32" s="181" t="s">
        <v>230</v>
      </c>
      <c r="D32" s="172">
        <v>1000000</v>
      </c>
      <c r="E32" s="172"/>
      <c r="F32" s="172">
        <v>1000000</v>
      </c>
      <c r="G32" s="172"/>
      <c r="H32" s="173">
        <f>SUM('COM Act'!U64:U65,'MAD Act'!U64:U65,'SEY Act'!U63:U64,'MAU Act'!U62:U63)</f>
        <v>0</v>
      </c>
      <c r="I32" s="173">
        <f>SUM('COM Act'!V64:V65,'MAD Act'!V64:V65,'SEY Act'!V63:V64,'MAU Act'!V62:V63)</f>
        <v>2400000</v>
      </c>
      <c r="J32" s="173">
        <f>SUM('COM Act'!W64:W65,'MAD Act'!W64:W65,'SEY Act'!W63:W64,'MAU Act'!W62:W63)</f>
        <v>0</v>
      </c>
      <c r="K32" s="228">
        <f>SUM('COM Act'!X64:X65,'MAD Act'!X64:X65,'SEY Act'!X63:X64,'MAU Act'!X62:X63)</f>
        <v>0</v>
      </c>
      <c r="L32" s="266">
        <f>ROUND((I32-M32)*($H$41-$H$40)/($J$40-I40),-3)</f>
        <v>130000</v>
      </c>
      <c r="M32" s="266">
        <f t="shared" si="7"/>
        <v>1146000</v>
      </c>
      <c r="N32" s="266">
        <f t="shared" si="1"/>
        <v>1124000</v>
      </c>
      <c r="O32" s="265">
        <f t="shared" si="6"/>
        <v>2400000</v>
      </c>
    </row>
    <row r="33" spans="1:15" ht="23.5" thickBot="1" x14ac:dyDescent="0.3">
      <c r="A33" s="271"/>
      <c r="B33" s="275"/>
      <c r="C33" s="181" t="s">
        <v>209</v>
      </c>
      <c r="D33" s="172">
        <v>1000000</v>
      </c>
      <c r="E33" s="172"/>
      <c r="F33" s="172">
        <v>1000000</v>
      </c>
      <c r="G33" s="172"/>
      <c r="H33" s="173">
        <f>SUM(REGIONAL!U26)</f>
        <v>0</v>
      </c>
      <c r="I33" s="173">
        <f>SUM(REGIONAL!V74,REGIONAL!V26)</f>
        <v>0</v>
      </c>
      <c r="J33" s="173">
        <f>SUM(REGIONAL!W74,REGIONAL!W26)</f>
        <v>2650000</v>
      </c>
      <c r="K33" s="228">
        <f>SUM(REGIONAL!X74,REGIONAL!X26)</f>
        <v>0</v>
      </c>
      <c r="L33" s="266">
        <f t="shared" ref="L33:L38" si="8">ROUND(J33*($H$41-$H$40)/$J$40,-3)</f>
        <v>215000</v>
      </c>
      <c r="M33" s="266"/>
      <c r="N33" s="266">
        <f t="shared" si="1"/>
        <v>2435000</v>
      </c>
      <c r="O33" s="265">
        <f t="shared" si="6"/>
        <v>2650000</v>
      </c>
    </row>
    <row r="34" spans="1:15" ht="23.5" thickBot="1" x14ac:dyDescent="0.3">
      <c r="A34" s="272"/>
      <c r="B34" s="274"/>
      <c r="C34" s="175" t="s">
        <v>208</v>
      </c>
      <c r="D34" s="172">
        <v>300000</v>
      </c>
      <c r="E34" s="172"/>
      <c r="F34" s="172">
        <v>200000</v>
      </c>
      <c r="G34" s="172"/>
      <c r="H34" s="173">
        <f>SUM(REGIONAL!U75:U76)</f>
        <v>0</v>
      </c>
      <c r="I34" s="173">
        <f>SUM(REGIONAL!V75:V76)</f>
        <v>0</v>
      </c>
      <c r="J34" s="173">
        <f>SUM(REGIONAL!W75:W76)</f>
        <v>900000</v>
      </c>
      <c r="K34" s="228">
        <f>SUM(REGIONAL!X75:X76)</f>
        <v>0</v>
      </c>
      <c r="L34" s="266">
        <f t="shared" si="8"/>
        <v>73000</v>
      </c>
      <c r="M34" s="266"/>
      <c r="N34" s="266">
        <f t="shared" si="1"/>
        <v>827000</v>
      </c>
      <c r="O34" s="265">
        <f t="shared" si="6"/>
        <v>900000</v>
      </c>
    </row>
    <row r="35" spans="1:15" s="238" customFormat="1" ht="12" thickBot="1" x14ac:dyDescent="0.3">
      <c r="A35" s="260"/>
      <c r="B35" s="268" t="s">
        <v>321</v>
      </c>
      <c r="C35" s="269"/>
      <c r="D35" s="257"/>
      <c r="E35" s="257"/>
      <c r="F35" s="257"/>
      <c r="G35" s="257"/>
      <c r="H35" s="258"/>
      <c r="I35" s="258"/>
      <c r="J35" s="258"/>
      <c r="K35" s="255">
        <f>SUM(K27:K34)</f>
        <v>0</v>
      </c>
      <c r="L35" s="255">
        <f>SUM(L27:L34)</f>
        <v>862000</v>
      </c>
      <c r="M35" s="255">
        <f>SUM(M27:M34)</f>
        <v>6000000</v>
      </c>
      <c r="N35" s="259">
        <f>SUM(N27:N34)</f>
        <v>9258000</v>
      </c>
      <c r="O35" s="255">
        <f>SUM(O27:O34)</f>
        <v>16120000</v>
      </c>
    </row>
    <row r="36" spans="1:15" s="238" customFormat="1" ht="12" thickBot="1" x14ac:dyDescent="0.3">
      <c r="A36" s="219" t="s">
        <v>131</v>
      </c>
      <c r="B36" s="220" t="s">
        <v>132</v>
      </c>
      <c r="C36" s="220" t="s">
        <v>133</v>
      </c>
      <c r="D36" s="220" t="s">
        <v>134</v>
      </c>
      <c r="E36" s="220" t="s">
        <v>135</v>
      </c>
      <c r="F36" s="220" t="s">
        <v>104</v>
      </c>
      <c r="G36" s="220" t="s">
        <v>108</v>
      </c>
      <c r="H36" s="250" t="s">
        <v>190</v>
      </c>
      <c r="I36" s="250" t="s">
        <v>264</v>
      </c>
      <c r="J36" s="250" t="s">
        <v>265</v>
      </c>
      <c r="K36" s="222" t="s">
        <v>108</v>
      </c>
      <c r="L36" s="223" t="s">
        <v>85</v>
      </c>
      <c r="M36" s="223" t="s">
        <v>104</v>
      </c>
      <c r="N36" s="223" t="s">
        <v>105</v>
      </c>
      <c r="O36" s="224" t="s">
        <v>309</v>
      </c>
    </row>
    <row r="37" spans="1:15" ht="23.5" thickBot="1" x14ac:dyDescent="0.3">
      <c r="A37" s="270" t="s">
        <v>147</v>
      </c>
      <c r="B37" s="240" t="s">
        <v>148</v>
      </c>
      <c r="C37" s="165" t="s">
        <v>149</v>
      </c>
      <c r="D37" s="172">
        <v>4000000</v>
      </c>
      <c r="E37" s="172"/>
      <c r="F37" s="172"/>
      <c r="G37" s="172"/>
      <c r="H37" s="173">
        <f>REGIONAL!U4</f>
        <v>0</v>
      </c>
      <c r="I37" s="173">
        <f>REGIONAL!V4</f>
        <v>0</v>
      </c>
      <c r="J37" s="173">
        <f>SUM(REGIONAL!W5:W20)</f>
        <v>3637000</v>
      </c>
      <c r="K37" s="228">
        <f>REGIONAL!X4</f>
        <v>0</v>
      </c>
      <c r="L37" s="266">
        <v>600000</v>
      </c>
      <c r="M37" s="266"/>
      <c r="N37" s="266">
        <f t="shared" si="1"/>
        <v>3037000</v>
      </c>
      <c r="O37" s="265">
        <f>SUM(K37:N37)</f>
        <v>3637000</v>
      </c>
    </row>
    <row r="38" spans="1:15" ht="12" thickBot="1" x14ac:dyDescent="0.3">
      <c r="A38" s="272"/>
      <c r="B38" s="240" t="s">
        <v>150</v>
      </c>
      <c r="C38" s="165" t="s">
        <v>151</v>
      </c>
      <c r="D38" s="172">
        <v>2000000</v>
      </c>
      <c r="E38" s="172"/>
      <c r="F38" s="172"/>
      <c r="G38" s="172">
        <v>4000000</v>
      </c>
      <c r="H38" s="173">
        <f>SUM('COM Act'!U87:U88,'MAD Act'!U86:U87,'SEY Act'!U85:U86,'MAU Act'!U84:U85,REGIONAL!U89:U90)</f>
        <v>0</v>
      </c>
      <c r="I38" s="173">
        <f>SUM('COM Act'!V87:V88,'MAD Act'!V86:V87,'SEY Act'!V85:V86,'MAU Act'!V84:V85,REGIONAL!V89:V90)</f>
        <v>0</v>
      </c>
      <c r="J38" s="173">
        <f>SUM('COM Act'!W87:W88,'MAD Act'!W86:W87,'SEY Act'!W85:W86,'MAU Act'!W84:W85,REGIONAL!W89:W90)</f>
        <v>2105000</v>
      </c>
      <c r="K38" s="228">
        <f>SUM('COM Act'!X87:X88,'MAD Act'!X86:X87,'SEY Act'!X85:X86,'MAU Act'!X84:X85,REGIONAL!X89:X90)</f>
        <v>5889000</v>
      </c>
      <c r="L38" s="266">
        <f t="shared" si="8"/>
        <v>171000</v>
      </c>
      <c r="M38" s="266"/>
      <c r="N38" s="266">
        <f>SUM(H38:J38)-SUM(L38:M38)</f>
        <v>1934000</v>
      </c>
      <c r="O38" s="265">
        <f>SUM(K38:N38)</f>
        <v>7994000</v>
      </c>
    </row>
    <row r="39" spans="1:15" s="238" customFormat="1" ht="12" thickBot="1" x14ac:dyDescent="0.3">
      <c r="A39" s="261"/>
      <c r="B39" s="262" t="s">
        <v>305</v>
      </c>
      <c r="C39" s="263"/>
      <c r="D39" s="264"/>
      <c r="E39" s="264"/>
      <c r="F39" s="264"/>
      <c r="G39" s="264"/>
      <c r="H39" s="264"/>
      <c r="I39" s="264"/>
      <c r="J39" s="264"/>
      <c r="K39" s="255">
        <f>SUM(K37:K38)</f>
        <v>5889000</v>
      </c>
      <c r="L39" s="255">
        <f>SUM(L37:L38)</f>
        <v>771000</v>
      </c>
      <c r="M39" s="255">
        <f>SUM(M37:M38)</f>
        <v>0</v>
      </c>
      <c r="N39" s="255">
        <f>SUM(N37:N38)</f>
        <v>4971000</v>
      </c>
      <c r="O39" s="255">
        <f>SUM(O37:O38)</f>
        <v>11631000</v>
      </c>
    </row>
    <row r="40" spans="1:15" s="241" customFormat="1" ht="12" thickBot="1" x14ac:dyDescent="0.3">
      <c r="A40" s="253"/>
      <c r="B40" s="279" t="s">
        <v>0</v>
      </c>
      <c r="C40" s="280"/>
      <c r="D40" s="254">
        <f t="shared" ref="D40:J40" si="9">SUM(D2:D38)</f>
        <v>59650000</v>
      </c>
      <c r="E40" s="254">
        <f t="shared" si="9"/>
        <v>6300000</v>
      </c>
      <c r="F40" s="254">
        <f t="shared" si="9"/>
        <v>7700000</v>
      </c>
      <c r="G40" s="254">
        <f t="shared" si="9"/>
        <v>6000000</v>
      </c>
      <c r="H40" s="254">
        <f t="shared" si="9"/>
        <v>800000</v>
      </c>
      <c r="I40" s="254">
        <f t="shared" si="9"/>
        <v>12570000</v>
      </c>
      <c r="J40" s="254">
        <f t="shared" si="9"/>
        <v>57801500</v>
      </c>
      <c r="K40" s="231">
        <f>SUM(K2:K39)-K13-K25-K39-K35</f>
        <v>6889000</v>
      </c>
      <c r="L40" s="231">
        <f>SUM(L2:L39)-L13-L25-L39-L35</f>
        <v>5579000</v>
      </c>
      <c r="M40" s="231">
        <f>SUM(M2:M39)-M13-M25-M35-M39</f>
        <v>6000000</v>
      </c>
      <c r="N40" s="232">
        <f>SUM(N2:N39)-N13-N25-N35-N39</f>
        <v>59592500</v>
      </c>
      <c r="O40" s="231">
        <f>SUM(O2:O39)-O13-O25-O35-O39</f>
        <v>78060500</v>
      </c>
    </row>
    <row r="41" spans="1:15" x14ac:dyDescent="0.25">
      <c r="H41" s="239">
        <v>5500000</v>
      </c>
      <c r="I41" s="239">
        <v>6000000</v>
      </c>
      <c r="J41" s="242">
        <f>J37/J40</f>
        <v>6.2922242502357201E-2</v>
      </c>
    </row>
    <row r="43" spans="1:15" x14ac:dyDescent="0.25">
      <c r="D43" s="243"/>
      <c r="E43" s="243"/>
      <c r="F43" s="243"/>
      <c r="G43" s="244"/>
      <c r="H43" s="245" t="s">
        <v>191</v>
      </c>
      <c r="I43" s="245" t="s">
        <v>192</v>
      </c>
      <c r="J43" s="245" t="s">
        <v>193</v>
      </c>
      <c r="K43" s="225" t="s">
        <v>194</v>
      </c>
      <c r="L43" s="225" t="s">
        <v>195</v>
      </c>
      <c r="M43" s="233"/>
    </row>
    <row r="44" spans="1:15" x14ac:dyDescent="0.25">
      <c r="D44" s="246"/>
      <c r="E44" s="246"/>
      <c r="F44" s="246"/>
      <c r="G44" s="247" t="s">
        <v>196</v>
      </c>
      <c r="H44" s="248">
        <f>'COM Act'!T94</f>
        <v>16851500</v>
      </c>
      <c r="I44" s="248">
        <f>'MAD Act'!T93</f>
        <v>16034000</v>
      </c>
      <c r="J44" s="248">
        <f>'SEY Act'!T92</f>
        <v>15546500</v>
      </c>
      <c r="K44" s="234">
        <f>'MAU Act'!T91</f>
        <v>15899500</v>
      </c>
      <c r="L44" s="234">
        <f>REGIONAL!T96</f>
        <v>13729000</v>
      </c>
      <c r="M44" s="235">
        <f>SUM(H44:L44)</f>
        <v>78060500</v>
      </c>
    </row>
    <row r="45" spans="1:15" x14ac:dyDescent="0.25">
      <c r="D45" s="243"/>
      <c r="E45" s="243"/>
      <c r="F45" s="243"/>
      <c r="G45" s="244" t="s">
        <v>197</v>
      </c>
      <c r="H45" s="249">
        <f>'COM Act'!U94</f>
        <v>800000</v>
      </c>
      <c r="I45" s="249">
        <f>'MAD Act'!U93</f>
        <v>0</v>
      </c>
      <c r="J45" s="249">
        <f>'SEY Act'!U92</f>
        <v>0</v>
      </c>
      <c r="K45" s="236">
        <f>'MAU Act'!U91</f>
        <v>0</v>
      </c>
      <c r="L45" s="236">
        <f>REGIONAL!U96</f>
        <v>0</v>
      </c>
      <c r="M45" s="235">
        <f t="shared" ref="M45:M49" si="10">SUM(H45:L45)</f>
        <v>800000</v>
      </c>
    </row>
    <row r="46" spans="1:15" x14ac:dyDescent="0.25">
      <c r="D46" s="243"/>
      <c r="E46" s="243"/>
      <c r="F46" s="243"/>
      <c r="G46" s="244" t="s">
        <v>198</v>
      </c>
      <c r="H46" s="249">
        <f>'COM Act'!V94</f>
        <v>2610000</v>
      </c>
      <c r="I46" s="249">
        <f>'MAD Act'!V93</f>
        <v>3210000</v>
      </c>
      <c r="J46" s="249">
        <f>'SEY Act'!V92</f>
        <v>2400000</v>
      </c>
      <c r="K46" s="236">
        <f>'MAU Act'!V91</f>
        <v>3150000</v>
      </c>
      <c r="L46" s="236">
        <f>REGIONAL!V96</f>
        <v>1200000</v>
      </c>
      <c r="M46" s="235">
        <f t="shared" si="10"/>
        <v>12570000</v>
      </c>
    </row>
    <row r="47" spans="1:15" x14ac:dyDescent="0.25">
      <c r="D47" s="243"/>
      <c r="E47" s="243"/>
      <c r="F47" s="243"/>
      <c r="G47" s="244" t="s">
        <v>199</v>
      </c>
      <c r="H47" s="249">
        <f>'COM Act'!W94</f>
        <v>12174500</v>
      </c>
      <c r="I47" s="249">
        <f>'MAD Act'!W93</f>
        <v>11806000</v>
      </c>
      <c r="J47" s="249">
        <f>'SEY Act'!W92</f>
        <v>10284500</v>
      </c>
      <c r="K47" s="236">
        <f>'MAU Act'!W91</f>
        <v>11007500</v>
      </c>
      <c r="L47" s="236">
        <f>REGIONAL!W96</f>
        <v>12529000</v>
      </c>
      <c r="M47" s="235">
        <f t="shared" si="10"/>
        <v>57801500</v>
      </c>
    </row>
    <row r="48" spans="1:15" x14ac:dyDescent="0.25">
      <c r="D48" s="243"/>
      <c r="E48" s="243"/>
      <c r="F48" s="243"/>
      <c r="G48" s="244" t="s">
        <v>200</v>
      </c>
      <c r="H48" s="249">
        <f>'COM Act'!X94</f>
        <v>1267000</v>
      </c>
      <c r="I48" s="249">
        <f>'MAD Act'!X93</f>
        <v>1018000</v>
      </c>
      <c r="J48" s="249">
        <f>'SEY Act'!X92</f>
        <v>2862000</v>
      </c>
      <c r="K48" s="236">
        <f>'MAU Act'!X91</f>
        <v>1742000</v>
      </c>
      <c r="L48" s="236">
        <f>REGIONAL!X96</f>
        <v>0</v>
      </c>
      <c r="M48" s="235">
        <f t="shared" si="10"/>
        <v>6889000</v>
      </c>
    </row>
    <row r="49" spans="4:13" x14ac:dyDescent="0.25">
      <c r="D49" s="243"/>
      <c r="E49" s="243"/>
      <c r="F49" s="243"/>
      <c r="G49" s="244"/>
      <c r="H49" s="248">
        <f>SUM(H45:H48)</f>
        <v>16851500</v>
      </c>
      <c r="I49" s="248">
        <f>SUM(I45:I48)</f>
        <v>16034000</v>
      </c>
      <c r="J49" s="248">
        <f>SUM(J45:J48)</f>
        <v>15546500</v>
      </c>
      <c r="K49" s="234">
        <f>SUM(K45:K48)</f>
        <v>15899500</v>
      </c>
      <c r="L49" s="234">
        <f>SUM(L45:L48)</f>
        <v>13729000</v>
      </c>
      <c r="M49" s="235">
        <f t="shared" si="10"/>
        <v>78060500</v>
      </c>
    </row>
  </sheetData>
  <mergeCells count="18">
    <mergeCell ref="B13:C13"/>
    <mergeCell ref="B40:C40"/>
    <mergeCell ref="A27:A34"/>
    <mergeCell ref="B27:B28"/>
    <mergeCell ref="B29:B30"/>
    <mergeCell ref="B31:B34"/>
    <mergeCell ref="A37:A38"/>
    <mergeCell ref="B8:B9"/>
    <mergeCell ref="A2:A12"/>
    <mergeCell ref="B2:B5"/>
    <mergeCell ref="B6:B7"/>
    <mergeCell ref="B10:B12"/>
    <mergeCell ref="B25:C25"/>
    <mergeCell ref="B35:C35"/>
    <mergeCell ref="A15:A24"/>
    <mergeCell ref="B15:B16"/>
    <mergeCell ref="B17:B18"/>
    <mergeCell ref="B19:B2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6102C-3700-624B-B84B-8A521400F4C0}">
  <dimension ref="A1:L22"/>
  <sheetViews>
    <sheetView zoomScale="60" zoomScaleNormal="60" workbookViewId="0">
      <selection activeCell="A14" sqref="A14"/>
    </sheetView>
  </sheetViews>
  <sheetFormatPr defaultColWidth="11.453125" defaultRowHeight="14.5" x14ac:dyDescent="0.35"/>
  <cols>
    <col min="1" max="1" width="33.08984375" customWidth="1"/>
  </cols>
  <sheetData>
    <row r="1" spans="1:12" ht="29" x14ac:dyDescent="0.35">
      <c r="A1" s="193" t="s">
        <v>266</v>
      </c>
      <c r="B1" s="193" t="s">
        <v>267</v>
      </c>
      <c r="C1" s="194" t="s">
        <v>268</v>
      </c>
      <c r="D1" s="194" t="s">
        <v>269</v>
      </c>
      <c r="E1" s="195" t="s">
        <v>270</v>
      </c>
      <c r="F1" s="196" t="s">
        <v>271</v>
      </c>
      <c r="G1" s="194" t="s">
        <v>272</v>
      </c>
      <c r="H1" s="194" t="s">
        <v>273</v>
      </c>
      <c r="I1" s="194" t="s">
        <v>274</v>
      </c>
      <c r="J1" s="194" t="s">
        <v>275</v>
      </c>
      <c r="K1" s="194" t="s">
        <v>276</v>
      </c>
      <c r="L1" s="197" t="s">
        <v>277</v>
      </c>
    </row>
    <row r="2" spans="1:12" ht="15.5" x14ac:dyDescent="0.35">
      <c r="A2" s="198" t="s">
        <v>278</v>
      </c>
      <c r="B2" s="199"/>
      <c r="C2" s="200"/>
      <c r="D2" s="200"/>
      <c r="E2" s="201"/>
      <c r="F2" s="201"/>
      <c r="G2" s="200"/>
      <c r="H2" s="200"/>
      <c r="I2" s="200"/>
      <c r="J2" s="200"/>
      <c r="K2" s="200"/>
      <c r="L2" s="202"/>
    </row>
    <row r="3" spans="1:12" ht="43.5" x14ac:dyDescent="0.35">
      <c r="A3" s="203" t="s">
        <v>248</v>
      </c>
      <c r="B3" s="203" t="s">
        <v>279</v>
      </c>
      <c r="C3" s="204">
        <v>60</v>
      </c>
      <c r="D3" s="204" t="s">
        <v>280</v>
      </c>
      <c r="E3" s="205">
        <v>18000</v>
      </c>
      <c r="F3" s="206">
        <f t="shared" ref="F3:F20" si="0">E3*C3</f>
        <v>1080000</v>
      </c>
      <c r="G3" s="204">
        <v>216000</v>
      </c>
      <c r="H3" s="204">
        <v>216000</v>
      </c>
      <c r="I3" s="204">
        <v>216000</v>
      </c>
      <c r="J3" s="204">
        <v>216000</v>
      </c>
      <c r="K3" s="204">
        <v>216000</v>
      </c>
      <c r="L3" s="207">
        <f t="shared" ref="L3:L20" si="1">SUM(G3:K3)</f>
        <v>1080000</v>
      </c>
    </row>
    <row r="4" spans="1:12" ht="43.5" x14ac:dyDescent="0.35">
      <c r="A4" s="203" t="s">
        <v>249</v>
      </c>
      <c r="B4" s="203" t="s">
        <v>281</v>
      </c>
      <c r="C4" s="204">
        <v>60</v>
      </c>
      <c r="D4" s="204" t="s">
        <v>280</v>
      </c>
      <c r="E4" s="204">
        <v>2000</v>
      </c>
      <c r="F4" s="206">
        <f t="shared" si="0"/>
        <v>120000</v>
      </c>
      <c r="G4" s="208">
        <v>24000</v>
      </c>
      <c r="H4" s="208">
        <v>24000</v>
      </c>
      <c r="I4" s="208">
        <v>24000</v>
      </c>
      <c r="J4" s="208">
        <v>24000</v>
      </c>
      <c r="K4" s="208">
        <v>24000</v>
      </c>
      <c r="L4" s="207">
        <f t="shared" si="1"/>
        <v>120000</v>
      </c>
    </row>
    <row r="5" spans="1:12" ht="29" x14ac:dyDescent="0.35">
      <c r="A5" s="203" t="s">
        <v>250</v>
      </c>
      <c r="B5" s="203" t="s">
        <v>282</v>
      </c>
      <c r="C5" s="204">
        <v>60</v>
      </c>
      <c r="D5" s="204" t="s">
        <v>280</v>
      </c>
      <c r="E5" s="204">
        <v>2000</v>
      </c>
      <c r="F5" s="206">
        <f t="shared" si="0"/>
        <v>120000</v>
      </c>
      <c r="G5" s="208">
        <v>24000</v>
      </c>
      <c r="H5" s="208">
        <v>24000</v>
      </c>
      <c r="I5" s="208">
        <v>24000</v>
      </c>
      <c r="J5" s="208">
        <v>24000</v>
      </c>
      <c r="K5" s="208">
        <v>24000</v>
      </c>
      <c r="L5" s="207">
        <f t="shared" si="1"/>
        <v>120000</v>
      </c>
    </row>
    <row r="6" spans="1:12" ht="43.5" x14ac:dyDescent="0.35">
      <c r="A6" s="203" t="s">
        <v>251</v>
      </c>
      <c r="B6" s="203" t="s">
        <v>283</v>
      </c>
      <c r="C6" s="204">
        <v>60</v>
      </c>
      <c r="D6" s="204" t="s">
        <v>280</v>
      </c>
      <c r="E6" s="204">
        <v>2000</v>
      </c>
      <c r="F6" s="206">
        <f t="shared" si="0"/>
        <v>120000</v>
      </c>
      <c r="G6" s="208">
        <v>24000</v>
      </c>
      <c r="H6" s="208">
        <v>24000</v>
      </c>
      <c r="I6" s="208">
        <v>24000</v>
      </c>
      <c r="J6" s="208">
        <v>24000</v>
      </c>
      <c r="K6" s="208">
        <v>24000</v>
      </c>
      <c r="L6" s="207">
        <f t="shared" si="1"/>
        <v>120000</v>
      </c>
    </row>
    <row r="7" spans="1:12" ht="43.5" x14ac:dyDescent="0.35">
      <c r="A7" s="203" t="s">
        <v>252</v>
      </c>
      <c r="B7" s="203" t="s">
        <v>284</v>
      </c>
      <c r="C7" s="204">
        <v>60</v>
      </c>
      <c r="D7" s="204" t="s">
        <v>280</v>
      </c>
      <c r="E7" s="204">
        <v>2000</v>
      </c>
      <c r="F7" s="206">
        <f t="shared" si="0"/>
        <v>120000</v>
      </c>
      <c r="G7" s="208">
        <v>24000</v>
      </c>
      <c r="H7" s="208">
        <v>24000</v>
      </c>
      <c r="I7" s="208">
        <v>24000</v>
      </c>
      <c r="J7" s="208">
        <v>24000</v>
      </c>
      <c r="K7" s="208">
        <v>24000</v>
      </c>
      <c r="L7" s="207">
        <f t="shared" si="1"/>
        <v>120000</v>
      </c>
    </row>
    <row r="8" spans="1:12" ht="87" x14ac:dyDescent="0.35">
      <c r="A8" s="209" t="s">
        <v>253</v>
      </c>
      <c r="B8" s="203" t="s">
        <v>285</v>
      </c>
      <c r="C8" s="210">
        <v>7.5</v>
      </c>
      <c r="D8" s="204" t="s">
        <v>280</v>
      </c>
      <c r="E8" s="204">
        <v>11000</v>
      </c>
      <c r="F8" s="206">
        <f t="shared" si="0"/>
        <v>82500</v>
      </c>
      <c r="G8" s="204">
        <v>33000</v>
      </c>
      <c r="H8" s="204">
        <v>33000</v>
      </c>
      <c r="I8" s="204">
        <v>16500</v>
      </c>
      <c r="J8" s="208">
        <v>0</v>
      </c>
      <c r="K8" s="208">
        <v>0</v>
      </c>
      <c r="L8" s="207">
        <f t="shared" si="1"/>
        <v>82500</v>
      </c>
    </row>
    <row r="9" spans="1:12" ht="29" x14ac:dyDescent="0.35">
      <c r="A9" s="211" t="s">
        <v>254</v>
      </c>
      <c r="B9" s="203" t="s">
        <v>286</v>
      </c>
      <c r="C9" s="204">
        <v>60</v>
      </c>
      <c r="D9" s="204" t="s">
        <v>280</v>
      </c>
      <c r="E9" s="205">
        <v>2000</v>
      </c>
      <c r="F9" s="206">
        <f t="shared" si="0"/>
        <v>120000</v>
      </c>
      <c r="G9" s="204">
        <v>24000</v>
      </c>
      <c r="H9" s="204">
        <v>24000</v>
      </c>
      <c r="I9" s="204">
        <v>24000</v>
      </c>
      <c r="J9" s="204">
        <v>24000</v>
      </c>
      <c r="K9" s="204">
        <v>24000</v>
      </c>
      <c r="L9" s="207">
        <f t="shared" si="1"/>
        <v>120000</v>
      </c>
    </row>
    <row r="10" spans="1:12" ht="29" x14ac:dyDescent="0.35">
      <c r="A10" s="211" t="s">
        <v>255</v>
      </c>
      <c r="B10" s="203" t="s">
        <v>287</v>
      </c>
      <c r="C10" s="205">
        <v>60</v>
      </c>
      <c r="D10" s="204" t="s">
        <v>280</v>
      </c>
      <c r="E10" s="204">
        <v>1500</v>
      </c>
      <c r="F10" s="206">
        <f t="shared" si="0"/>
        <v>90000</v>
      </c>
      <c r="G10" s="204">
        <v>18000</v>
      </c>
      <c r="H10" s="204">
        <v>18000</v>
      </c>
      <c r="I10" s="204">
        <v>18000</v>
      </c>
      <c r="J10" s="204">
        <v>18000</v>
      </c>
      <c r="K10" s="204">
        <v>18000</v>
      </c>
      <c r="L10" s="207">
        <f t="shared" si="1"/>
        <v>90000</v>
      </c>
    </row>
    <row r="11" spans="1:12" ht="29" x14ac:dyDescent="0.35">
      <c r="A11" s="203" t="s">
        <v>256</v>
      </c>
      <c r="B11" s="203" t="s">
        <v>288</v>
      </c>
      <c r="C11" s="204">
        <v>30</v>
      </c>
      <c r="D11" s="204" t="s">
        <v>280</v>
      </c>
      <c r="E11" s="204">
        <v>1500</v>
      </c>
      <c r="F11" s="206">
        <f t="shared" si="0"/>
        <v>45000</v>
      </c>
      <c r="G11" s="204">
        <v>9000</v>
      </c>
      <c r="H11" s="204">
        <v>9000</v>
      </c>
      <c r="I11" s="204">
        <v>9000</v>
      </c>
      <c r="J11" s="204">
        <v>9000</v>
      </c>
      <c r="K11" s="204">
        <v>9000</v>
      </c>
      <c r="L11" s="207">
        <f t="shared" si="1"/>
        <v>45000</v>
      </c>
    </row>
    <row r="12" spans="1:12" ht="29" x14ac:dyDescent="0.35">
      <c r="A12" s="211" t="s">
        <v>257</v>
      </c>
      <c r="B12" s="203" t="s">
        <v>289</v>
      </c>
      <c r="C12" s="204">
        <v>30</v>
      </c>
      <c r="D12" s="204" t="s">
        <v>280</v>
      </c>
      <c r="E12" s="204">
        <v>3000</v>
      </c>
      <c r="F12" s="206">
        <f t="shared" si="0"/>
        <v>90000</v>
      </c>
      <c r="G12" s="204">
        <v>18000</v>
      </c>
      <c r="H12" s="204">
        <v>18000</v>
      </c>
      <c r="I12" s="204">
        <v>18000</v>
      </c>
      <c r="J12" s="204">
        <v>18000</v>
      </c>
      <c r="K12" s="204">
        <v>18000</v>
      </c>
      <c r="L12" s="207">
        <f t="shared" si="1"/>
        <v>90000</v>
      </c>
    </row>
    <row r="13" spans="1:12" ht="72.5" x14ac:dyDescent="0.35">
      <c r="A13" s="211" t="s">
        <v>258</v>
      </c>
      <c r="B13" s="203" t="s">
        <v>290</v>
      </c>
      <c r="C13" s="204">
        <v>1</v>
      </c>
      <c r="D13" s="204" t="s">
        <v>291</v>
      </c>
      <c r="E13" s="204">
        <v>40000</v>
      </c>
      <c r="F13" s="206">
        <f>E13*C13</f>
        <v>40000</v>
      </c>
      <c r="G13" s="204">
        <v>8000</v>
      </c>
      <c r="H13" s="204">
        <v>8000</v>
      </c>
      <c r="I13" s="204">
        <v>8000</v>
      </c>
      <c r="J13" s="204">
        <v>8000</v>
      </c>
      <c r="K13" s="204">
        <v>8000</v>
      </c>
      <c r="L13" s="207">
        <f t="shared" si="1"/>
        <v>40000</v>
      </c>
    </row>
    <row r="14" spans="1:12" ht="31" x14ac:dyDescent="0.35">
      <c r="A14" s="212" t="s">
        <v>292</v>
      </c>
      <c r="B14" s="199"/>
      <c r="C14" s="200"/>
      <c r="D14" s="200"/>
      <c r="E14" s="201"/>
      <c r="F14" s="201"/>
      <c r="G14" s="200"/>
      <c r="H14" s="200"/>
      <c r="I14" s="200"/>
      <c r="J14" s="200"/>
      <c r="K14" s="200"/>
      <c r="L14" s="202"/>
    </row>
    <row r="15" spans="1:12" ht="29" x14ac:dyDescent="0.35">
      <c r="A15" s="211" t="s">
        <v>259</v>
      </c>
      <c r="B15" s="203" t="s">
        <v>293</v>
      </c>
      <c r="C15" s="204">
        <v>5</v>
      </c>
      <c r="D15" s="204"/>
      <c r="E15" s="204">
        <v>10000</v>
      </c>
      <c r="F15" s="206">
        <f t="shared" si="0"/>
        <v>50000</v>
      </c>
      <c r="G15" s="204">
        <v>50000</v>
      </c>
      <c r="H15" s="204"/>
      <c r="I15" s="204"/>
      <c r="J15" s="204"/>
      <c r="K15" s="204"/>
      <c r="L15" s="207">
        <f t="shared" si="1"/>
        <v>50000</v>
      </c>
    </row>
    <row r="16" spans="1:12" ht="31" x14ac:dyDescent="0.35">
      <c r="A16" s="213" t="s">
        <v>260</v>
      </c>
      <c r="B16" s="203" t="s">
        <v>294</v>
      </c>
      <c r="C16" s="204">
        <v>1</v>
      </c>
      <c r="D16" s="214" t="s">
        <v>295</v>
      </c>
      <c r="E16" s="204">
        <v>1294500</v>
      </c>
      <c r="F16" s="206">
        <f t="shared" si="0"/>
        <v>1294500</v>
      </c>
      <c r="G16" s="204">
        <v>258900</v>
      </c>
      <c r="H16" s="204">
        <v>258900</v>
      </c>
      <c r="I16" s="204">
        <v>258900</v>
      </c>
      <c r="J16" s="204">
        <v>258900</v>
      </c>
      <c r="K16" s="204">
        <v>258900</v>
      </c>
      <c r="L16" s="207">
        <f t="shared" si="1"/>
        <v>1294500</v>
      </c>
    </row>
    <row r="17" spans="1:12" ht="29" x14ac:dyDescent="0.35">
      <c r="A17" s="211" t="s">
        <v>296</v>
      </c>
      <c r="B17" s="203" t="s">
        <v>297</v>
      </c>
      <c r="C17" s="204">
        <v>5</v>
      </c>
      <c r="D17" s="204" t="s">
        <v>298</v>
      </c>
      <c r="E17" s="204">
        <v>23000</v>
      </c>
      <c r="F17" s="206">
        <f>E17*C17</f>
        <v>115000</v>
      </c>
      <c r="G17" s="204">
        <v>23000</v>
      </c>
      <c r="H17" s="204">
        <v>23000</v>
      </c>
      <c r="I17" s="204">
        <v>23000</v>
      </c>
      <c r="J17" s="204">
        <v>23000</v>
      </c>
      <c r="K17" s="204">
        <v>23000</v>
      </c>
      <c r="L17" s="207">
        <f>SUM(G17:K17)</f>
        <v>115000</v>
      </c>
    </row>
    <row r="18" spans="1:12" ht="31" x14ac:dyDescent="0.35">
      <c r="A18" s="212" t="s">
        <v>299</v>
      </c>
      <c r="B18" s="199"/>
      <c r="C18" s="200"/>
      <c r="D18" s="200"/>
      <c r="E18" s="201"/>
      <c r="F18" s="201"/>
      <c r="G18" s="200"/>
      <c r="H18" s="200"/>
      <c r="I18" s="200"/>
      <c r="J18" s="200"/>
      <c r="K18" s="200"/>
      <c r="L18" s="202"/>
    </row>
    <row r="19" spans="1:12" ht="58" x14ac:dyDescent="0.35">
      <c r="A19" s="211" t="s">
        <v>262</v>
      </c>
      <c r="B19" s="203" t="s">
        <v>300</v>
      </c>
      <c r="C19" s="204">
        <v>5</v>
      </c>
      <c r="D19" s="204" t="s">
        <v>298</v>
      </c>
      <c r="E19" s="205">
        <v>25000</v>
      </c>
      <c r="F19" s="206">
        <f t="shared" si="0"/>
        <v>125000</v>
      </c>
      <c r="G19" s="205">
        <v>25000</v>
      </c>
      <c r="H19" s="205">
        <v>25000</v>
      </c>
      <c r="I19" s="205">
        <v>25000</v>
      </c>
      <c r="J19" s="205">
        <v>25000</v>
      </c>
      <c r="K19" s="205">
        <v>25000</v>
      </c>
      <c r="L19" s="207">
        <f t="shared" si="1"/>
        <v>125000</v>
      </c>
    </row>
    <row r="20" spans="1:12" ht="58" x14ac:dyDescent="0.35">
      <c r="A20" s="211" t="s">
        <v>263</v>
      </c>
      <c r="B20" s="203" t="s">
        <v>301</v>
      </c>
      <c r="C20" s="204">
        <v>5</v>
      </c>
      <c r="D20" s="204" t="s">
        <v>298</v>
      </c>
      <c r="E20" s="205">
        <v>5000</v>
      </c>
      <c r="F20" s="206">
        <f t="shared" si="0"/>
        <v>25000</v>
      </c>
      <c r="G20" s="205">
        <v>5000</v>
      </c>
      <c r="H20" s="205">
        <v>5000</v>
      </c>
      <c r="I20" s="205">
        <v>5000</v>
      </c>
      <c r="J20" s="205">
        <v>5000</v>
      </c>
      <c r="K20" s="205">
        <v>5000</v>
      </c>
      <c r="L20" s="207">
        <f t="shared" si="1"/>
        <v>25000</v>
      </c>
    </row>
    <row r="21" spans="1:12" x14ac:dyDescent="0.35">
      <c r="A21" s="203"/>
      <c r="B21" s="203"/>
      <c r="C21" s="204"/>
      <c r="D21" s="204"/>
      <c r="E21" s="204"/>
      <c r="F21" s="206"/>
      <c r="G21" s="204"/>
      <c r="H21" s="204"/>
      <c r="I21" s="204"/>
      <c r="J21" s="204"/>
      <c r="K21" s="204"/>
      <c r="L21" s="207"/>
    </row>
    <row r="22" spans="1:12" x14ac:dyDescent="0.35">
      <c r="A22" s="281" t="s">
        <v>302</v>
      </c>
      <c r="B22" s="281"/>
      <c r="C22" s="281"/>
      <c r="D22" s="281"/>
      <c r="E22" s="281"/>
      <c r="F22" s="215">
        <f t="shared" ref="F22:K22" si="2">SUM(F3:F20)</f>
        <v>3637000</v>
      </c>
      <c r="G22" s="216">
        <f t="shared" si="2"/>
        <v>783900</v>
      </c>
      <c r="H22" s="216">
        <f t="shared" si="2"/>
        <v>733900</v>
      </c>
      <c r="I22" s="216">
        <f t="shared" si="2"/>
        <v>717400</v>
      </c>
      <c r="J22" s="216">
        <f t="shared" si="2"/>
        <v>700900</v>
      </c>
      <c r="K22" s="216">
        <f t="shared" si="2"/>
        <v>700900</v>
      </c>
      <c r="L22" s="207">
        <f>SUM(G22:K22)</f>
        <v>3637000</v>
      </c>
    </row>
  </sheetData>
  <mergeCells count="1">
    <mergeCell ref="A22:E2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X114"/>
  <sheetViews>
    <sheetView showZeros="0" topLeftCell="A65" zoomScale="80" zoomScaleNormal="80" workbookViewId="0">
      <selection activeCell="D90" sqref="D90"/>
    </sheetView>
  </sheetViews>
  <sheetFormatPr defaultColWidth="11.453125" defaultRowHeight="14.5" x14ac:dyDescent="0.35"/>
  <cols>
    <col min="1" max="1" width="4" style="1" customWidth="1"/>
    <col min="2" max="2" width="6.36328125" style="1" customWidth="1"/>
    <col min="3" max="3" width="17.6328125" style="1" customWidth="1"/>
    <col min="4" max="4" width="47.81640625" style="1" customWidth="1"/>
    <col min="5" max="5" width="10" style="1" customWidth="1"/>
    <col min="6" max="6" width="11" style="1" customWidth="1"/>
    <col min="7" max="7" width="21.6328125" style="1" customWidth="1"/>
    <col min="8" max="8" width="7.453125" style="1" customWidth="1"/>
    <col min="9" max="12" width="7.36328125" style="1" customWidth="1"/>
    <col min="13" max="13" width="14.36328125" style="1" customWidth="1"/>
    <col min="14" max="14" width="13.453125" style="1" customWidth="1"/>
    <col min="15" max="24" width="12.81640625" style="1" customWidth="1"/>
    <col min="25" max="16384" width="11.453125" style="1"/>
  </cols>
  <sheetData>
    <row r="2" spans="2:24" ht="15" thickBot="1" x14ac:dyDescent="0.4">
      <c r="H2" s="53" t="s">
        <v>87</v>
      </c>
      <c r="I2" s="50"/>
      <c r="J2" s="50"/>
      <c r="K2" s="50"/>
      <c r="L2" s="50"/>
      <c r="M2" s="54"/>
      <c r="N2" s="55"/>
      <c r="O2" s="58" t="s">
        <v>86</v>
      </c>
      <c r="P2" s="58" t="s">
        <v>86</v>
      </c>
      <c r="Q2" s="58" t="s">
        <v>86</v>
      </c>
      <c r="R2" s="58" t="s">
        <v>86</v>
      </c>
      <c r="S2" s="58" t="s">
        <v>86</v>
      </c>
      <c r="T2" s="58" t="s">
        <v>86</v>
      </c>
      <c r="U2" s="146" t="s">
        <v>85</v>
      </c>
      <c r="V2" s="146" t="s">
        <v>264</v>
      </c>
      <c r="W2" s="146" t="s">
        <v>265</v>
      </c>
      <c r="X2" s="146" t="s">
        <v>108</v>
      </c>
    </row>
    <row r="3" spans="2:24" s="71" customFormat="1" ht="43.5" x14ac:dyDescent="0.35">
      <c r="C3" s="75" t="s">
        <v>90</v>
      </c>
      <c r="D3" s="74" t="s">
        <v>7</v>
      </c>
      <c r="E3" s="74" t="str">
        <f>E18</f>
        <v>Fin.
AFD, EU, GCF, GVNT</v>
      </c>
      <c r="F3" s="74" t="str">
        <f>F18</f>
        <v>Durée de vie (an)</v>
      </c>
      <c r="G3" s="74" t="s">
        <v>26</v>
      </c>
      <c r="H3" s="124">
        <v>2021</v>
      </c>
      <c r="I3" s="124">
        <v>2022</v>
      </c>
      <c r="J3" s="124">
        <v>2023</v>
      </c>
      <c r="K3" s="124">
        <v>2024</v>
      </c>
      <c r="L3" s="124">
        <v>2025</v>
      </c>
      <c r="M3" s="69" t="s">
        <v>36</v>
      </c>
      <c r="N3" s="62" t="s">
        <v>37</v>
      </c>
      <c r="O3" s="73" t="s">
        <v>9</v>
      </c>
      <c r="P3" s="73" t="s">
        <v>10</v>
      </c>
      <c r="Q3" s="73" t="s">
        <v>11</v>
      </c>
      <c r="R3" s="73" t="s">
        <v>12</v>
      </c>
      <c r="S3" s="73" t="s">
        <v>39</v>
      </c>
      <c r="T3" s="151" t="s">
        <v>8</v>
      </c>
      <c r="U3" s="160"/>
      <c r="V3" s="161"/>
      <c r="W3" s="161"/>
      <c r="X3" s="162"/>
    </row>
    <row r="4" spans="2:24" x14ac:dyDescent="0.35">
      <c r="B4" s="1" t="s">
        <v>179</v>
      </c>
      <c r="C4" s="218"/>
      <c r="D4" s="65" t="s">
        <v>306</v>
      </c>
      <c r="E4" s="76" t="s">
        <v>265</v>
      </c>
      <c r="F4" s="66"/>
      <c r="G4" s="65" t="s">
        <v>32</v>
      </c>
      <c r="H4" s="51">
        <v>1</v>
      </c>
      <c r="I4" s="51"/>
      <c r="J4" s="51"/>
      <c r="K4" s="51"/>
      <c r="L4" s="51"/>
      <c r="M4" s="56">
        <f t="shared" ref="M4" si="0">SUM(H4:K4)</f>
        <v>1</v>
      </c>
      <c r="N4" s="63">
        <v>10000</v>
      </c>
      <c r="O4" s="48">
        <f t="shared" ref="O4:S5" si="1">H4*$N4</f>
        <v>10000</v>
      </c>
      <c r="P4" s="48">
        <f t="shared" si="1"/>
        <v>0</v>
      </c>
      <c r="Q4" s="48">
        <f t="shared" si="1"/>
        <v>0</v>
      </c>
      <c r="R4" s="48">
        <f t="shared" si="1"/>
        <v>0</v>
      </c>
      <c r="S4" s="48">
        <f t="shared" si="1"/>
        <v>0</v>
      </c>
      <c r="T4" s="140">
        <f t="shared" ref="T4" si="2">SUM(O4:S4)</f>
        <v>10000</v>
      </c>
      <c r="U4" s="155">
        <f>IF($E4=U$2,$T4,0)</f>
        <v>0</v>
      </c>
      <c r="V4" s="148">
        <f t="shared" ref="U4:X12" si="3">IF($E4=V$2,$T4,0)</f>
        <v>0</v>
      </c>
      <c r="W4" s="148">
        <f t="shared" si="3"/>
        <v>10000</v>
      </c>
      <c r="X4" s="156">
        <f t="shared" si="3"/>
        <v>0</v>
      </c>
    </row>
    <row r="5" spans="2:24" x14ac:dyDescent="0.35">
      <c r="B5" s="1" t="s">
        <v>179</v>
      </c>
      <c r="C5" s="284"/>
      <c r="D5" s="65" t="s">
        <v>176</v>
      </c>
      <c r="E5" s="76" t="s">
        <v>265</v>
      </c>
      <c r="F5" s="66"/>
      <c r="G5" s="65" t="s">
        <v>32</v>
      </c>
      <c r="H5" s="51">
        <v>1</v>
      </c>
      <c r="I5" s="51"/>
      <c r="J5" s="51"/>
      <c r="K5" s="51"/>
      <c r="L5" s="51"/>
      <c r="M5" s="56">
        <f t="shared" ref="M5:M8" si="4">SUM(H5:K5)</f>
        <v>1</v>
      </c>
      <c r="N5" s="63">
        <v>140000</v>
      </c>
      <c r="O5" s="48">
        <f t="shared" si="1"/>
        <v>140000</v>
      </c>
      <c r="P5" s="48">
        <f t="shared" si="1"/>
        <v>0</v>
      </c>
      <c r="Q5" s="48">
        <f t="shared" si="1"/>
        <v>0</v>
      </c>
      <c r="R5" s="48">
        <f t="shared" si="1"/>
        <v>0</v>
      </c>
      <c r="S5" s="48">
        <f t="shared" si="1"/>
        <v>0</v>
      </c>
      <c r="T5" s="140">
        <f t="shared" ref="T5:T11" si="5">SUM(O5:S5)</f>
        <v>140000</v>
      </c>
      <c r="U5" s="155">
        <f>IF($E5=U$2,$T5,0)</f>
        <v>0</v>
      </c>
      <c r="V5" s="148">
        <f t="shared" si="3"/>
        <v>0</v>
      </c>
      <c r="W5" s="148">
        <f t="shared" si="3"/>
        <v>140000</v>
      </c>
      <c r="X5" s="156">
        <f t="shared" si="3"/>
        <v>0</v>
      </c>
    </row>
    <row r="6" spans="2:24" x14ac:dyDescent="0.35">
      <c r="B6" s="1" t="s">
        <v>173</v>
      </c>
      <c r="C6" s="284"/>
      <c r="D6" s="65" t="s">
        <v>19</v>
      </c>
      <c r="E6" s="76" t="s">
        <v>265</v>
      </c>
      <c r="F6" s="66"/>
      <c r="G6" s="65" t="s">
        <v>32</v>
      </c>
      <c r="H6" s="126"/>
      <c r="I6" s="127"/>
      <c r="J6" s="127"/>
      <c r="K6" s="127"/>
      <c r="L6" s="127"/>
      <c r="M6" s="127"/>
      <c r="N6" s="118">
        <v>0.05</v>
      </c>
      <c r="O6" s="48">
        <f>ROUND($N6*O54,-3)</f>
        <v>40000</v>
      </c>
      <c r="P6" s="48">
        <f t="shared" ref="P6:S6" si="6">ROUND($N6*P54,-3)</f>
        <v>99000</v>
      </c>
      <c r="Q6" s="48">
        <f t="shared" si="6"/>
        <v>6000</v>
      </c>
      <c r="R6" s="48">
        <f t="shared" si="6"/>
        <v>0</v>
      </c>
      <c r="S6" s="48">
        <f t="shared" si="6"/>
        <v>0</v>
      </c>
      <c r="T6" s="140">
        <f t="shared" si="5"/>
        <v>145000</v>
      </c>
      <c r="U6" s="155">
        <f t="shared" si="3"/>
        <v>0</v>
      </c>
      <c r="V6" s="148">
        <f t="shared" si="3"/>
        <v>0</v>
      </c>
      <c r="W6" s="148">
        <f t="shared" si="3"/>
        <v>145000</v>
      </c>
      <c r="X6" s="156">
        <f t="shared" si="3"/>
        <v>0</v>
      </c>
    </row>
    <row r="7" spans="2:24" x14ac:dyDescent="0.35">
      <c r="B7" s="1" t="s">
        <v>173</v>
      </c>
      <c r="C7" s="284"/>
      <c r="D7" s="65" t="s">
        <v>20</v>
      </c>
      <c r="E7" s="76" t="s">
        <v>265</v>
      </c>
      <c r="F7" s="66"/>
      <c r="G7" s="65" t="s">
        <v>32</v>
      </c>
      <c r="H7" s="126"/>
      <c r="I7" s="127"/>
      <c r="J7" s="127"/>
      <c r="K7" s="127"/>
      <c r="L7" s="127"/>
      <c r="M7" s="127"/>
      <c r="N7" s="118">
        <v>0.05</v>
      </c>
      <c r="O7" s="48">
        <f>ROUND($N7*O37,-3)</f>
        <v>40000</v>
      </c>
      <c r="P7" s="48">
        <f t="shared" ref="P7:S7" si="7">ROUND($N7*P37,-3)</f>
        <v>223000</v>
      </c>
      <c r="Q7" s="48">
        <f t="shared" si="7"/>
        <v>37000</v>
      </c>
      <c r="R7" s="48">
        <f t="shared" si="7"/>
        <v>0</v>
      </c>
      <c r="S7" s="48">
        <f t="shared" si="7"/>
        <v>0</v>
      </c>
      <c r="T7" s="140">
        <f t="shared" si="5"/>
        <v>300000</v>
      </c>
      <c r="U7" s="155">
        <f t="shared" si="3"/>
        <v>0</v>
      </c>
      <c r="V7" s="148">
        <f t="shared" si="3"/>
        <v>0</v>
      </c>
      <c r="W7" s="148">
        <f t="shared" si="3"/>
        <v>300000</v>
      </c>
      <c r="X7" s="156">
        <f t="shared" si="3"/>
        <v>0</v>
      </c>
    </row>
    <row r="8" spans="2:24" ht="29" x14ac:dyDescent="0.35">
      <c r="B8" s="1" t="s">
        <v>180</v>
      </c>
      <c r="C8" s="284"/>
      <c r="D8" s="188" t="s">
        <v>238</v>
      </c>
      <c r="E8" s="76" t="s">
        <v>265</v>
      </c>
      <c r="F8" s="66"/>
      <c r="G8" s="65" t="s">
        <v>32</v>
      </c>
      <c r="H8" s="51">
        <v>1</v>
      </c>
      <c r="I8" s="51"/>
      <c r="J8" s="51"/>
      <c r="K8" s="51"/>
      <c r="L8" s="51"/>
      <c r="M8" s="56">
        <f t="shared" si="4"/>
        <v>1</v>
      </c>
      <c r="N8" s="63">
        <v>100000</v>
      </c>
      <c r="O8" s="48">
        <f t="shared" ref="O8:S11" si="8">H8*$N8</f>
        <v>100000</v>
      </c>
      <c r="P8" s="48">
        <f t="shared" si="8"/>
        <v>0</v>
      </c>
      <c r="Q8" s="48">
        <f t="shared" si="8"/>
        <v>0</v>
      </c>
      <c r="R8" s="48">
        <f t="shared" si="8"/>
        <v>0</v>
      </c>
      <c r="S8" s="48">
        <f t="shared" si="8"/>
        <v>0</v>
      </c>
      <c r="T8" s="140">
        <f t="shared" si="5"/>
        <v>100000</v>
      </c>
      <c r="U8" s="155">
        <f t="shared" si="3"/>
        <v>0</v>
      </c>
      <c r="V8" s="148">
        <f t="shared" si="3"/>
        <v>0</v>
      </c>
      <c r="W8" s="148">
        <f t="shared" si="3"/>
        <v>100000</v>
      </c>
      <c r="X8" s="156">
        <f t="shared" si="3"/>
        <v>0</v>
      </c>
    </row>
    <row r="9" spans="2:24" x14ac:dyDescent="0.35">
      <c r="B9" s="1" t="s">
        <v>181</v>
      </c>
      <c r="C9" s="284"/>
      <c r="D9" s="189" t="s">
        <v>177</v>
      </c>
      <c r="E9" s="76" t="s">
        <v>265</v>
      </c>
      <c r="F9" s="77"/>
      <c r="G9" s="65" t="s">
        <v>32</v>
      </c>
      <c r="H9" s="51"/>
      <c r="I9" s="51">
        <v>1</v>
      </c>
      <c r="J9" s="51"/>
      <c r="K9" s="51"/>
      <c r="L9" s="51"/>
      <c r="M9" s="56">
        <f>SUM(H9:L9)</f>
        <v>1</v>
      </c>
      <c r="N9" s="80">
        <v>50000</v>
      </c>
      <c r="O9" s="81">
        <f t="shared" si="8"/>
        <v>0</v>
      </c>
      <c r="P9" s="81">
        <f t="shared" si="8"/>
        <v>50000</v>
      </c>
      <c r="Q9" s="81">
        <f t="shared" si="8"/>
        <v>0</v>
      </c>
      <c r="R9" s="81">
        <f t="shared" si="8"/>
        <v>0</v>
      </c>
      <c r="S9" s="81">
        <f t="shared" si="8"/>
        <v>0</v>
      </c>
      <c r="T9" s="143">
        <f t="shared" si="5"/>
        <v>50000</v>
      </c>
      <c r="U9" s="155">
        <f t="shared" si="3"/>
        <v>0</v>
      </c>
      <c r="V9" s="148">
        <f t="shared" si="3"/>
        <v>0</v>
      </c>
      <c r="W9" s="148">
        <f t="shared" si="3"/>
        <v>50000</v>
      </c>
      <c r="X9" s="156">
        <f t="shared" si="3"/>
        <v>0</v>
      </c>
    </row>
    <row r="10" spans="2:24" x14ac:dyDescent="0.35">
      <c r="B10" s="1" t="s">
        <v>182</v>
      </c>
      <c r="C10" s="284"/>
      <c r="D10" s="188" t="s">
        <v>178</v>
      </c>
      <c r="E10" s="76" t="s">
        <v>265</v>
      </c>
      <c r="F10" s="66"/>
      <c r="G10" s="65" t="s">
        <v>32</v>
      </c>
      <c r="H10" s="51"/>
      <c r="I10" s="51"/>
      <c r="J10" s="51">
        <v>1</v>
      </c>
      <c r="K10" s="51"/>
      <c r="L10" s="51"/>
      <c r="M10" s="56">
        <f t="shared" ref="M10" si="9">SUM(H10:K10)</f>
        <v>1</v>
      </c>
      <c r="N10" s="63">
        <v>50000</v>
      </c>
      <c r="O10" s="48">
        <f t="shared" si="8"/>
        <v>0</v>
      </c>
      <c r="P10" s="48">
        <f t="shared" si="8"/>
        <v>0</v>
      </c>
      <c r="Q10" s="48">
        <f t="shared" si="8"/>
        <v>50000</v>
      </c>
      <c r="R10" s="48">
        <f t="shared" si="8"/>
        <v>0</v>
      </c>
      <c r="S10" s="48">
        <f t="shared" si="8"/>
        <v>0</v>
      </c>
      <c r="T10" s="140">
        <f t="shared" si="5"/>
        <v>50000</v>
      </c>
      <c r="U10" s="155">
        <f t="shared" si="3"/>
        <v>0</v>
      </c>
      <c r="V10" s="148">
        <f t="shared" si="3"/>
        <v>0</v>
      </c>
      <c r="W10" s="148">
        <f t="shared" si="3"/>
        <v>50000</v>
      </c>
      <c r="X10" s="156">
        <f t="shared" si="3"/>
        <v>0</v>
      </c>
    </row>
    <row r="11" spans="2:24" x14ac:dyDescent="0.35">
      <c r="B11" s="1" t="s">
        <v>183</v>
      </c>
      <c r="C11" s="284"/>
      <c r="D11" s="189" t="s">
        <v>184</v>
      </c>
      <c r="E11" s="76" t="s">
        <v>265</v>
      </c>
      <c r="F11" s="77"/>
      <c r="G11" s="65" t="s">
        <v>32</v>
      </c>
      <c r="H11" s="51"/>
      <c r="I11" s="51">
        <v>1</v>
      </c>
      <c r="J11" s="51"/>
      <c r="K11" s="51"/>
      <c r="L11" s="51"/>
      <c r="M11" s="56">
        <f>SUM(H11:L11)</f>
        <v>1</v>
      </c>
      <c r="N11" s="80">
        <v>100000</v>
      </c>
      <c r="O11" s="81">
        <f t="shared" si="8"/>
        <v>0</v>
      </c>
      <c r="P11" s="81">
        <f t="shared" si="8"/>
        <v>100000</v>
      </c>
      <c r="Q11" s="81">
        <f t="shared" si="8"/>
        <v>0</v>
      </c>
      <c r="R11" s="81">
        <f t="shared" si="8"/>
        <v>0</v>
      </c>
      <c r="S11" s="81">
        <f t="shared" si="8"/>
        <v>0</v>
      </c>
      <c r="T11" s="143">
        <f t="shared" si="5"/>
        <v>100000</v>
      </c>
      <c r="U11" s="155">
        <f t="shared" si="3"/>
        <v>0</v>
      </c>
      <c r="V11" s="148">
        <f t="shared" si="3"/>
        <v>0</v>
      </c>
      <c r="W11" s="148">
        <f t="shared" si="3"/>
        <v>100000</v>
      </c>
      <c r="X11" s="156">
        <f t="shared" si="3"/>
        <v>0</v>
      </c>
    </row>
    <row r="12" spans="2:24" x14ac:dyDescent="0.35">
      <c r="B12" s="1" t="s">
        <v>183</v>
      </c>
      <c r="C12" s="284"/>
      <c r="D12" s="189" t="s">
        <v>216</v>
      </c>
      <c r="E12" s="76" t="s">
        <v>265</v>
      </c>
      <c r="F12" s="77"/>
      <c r="G12" s="65" t="s">
        <v>32</v>
      </c>
      <c r="H12" s="51"/>
      <c r="I12" s="51">
        <v>1</v>
      </c>
      <c r="J12" s="51"/>
      <c r="K12" s="51"/>
      <c r="L12" s="51"/>
      <c r="M12" s="56">
        <f>SUM(H12:L12)</f>
        <v>1</v>
      </c>
      <c r="N12" s="80">
        <v>50000</v>
      </c>
      <c r="O12" s="81">
        <f t="shared" ref="O12" si="10">H12*$N12</f>
        <v>0</v>
      </c>
      <c r="P12" s="81">
        <f t="shared" ref="P12" si="11">I12*$N12</f>
        <v>50000</v>
      </c>
      <c r="Q12" s="81">
        <f t="shared" ref="Q12" si="12">J12*$N12</f>
        <v>0</v>
      </c>
      <c r="R12" s="81">
        <f t="shared" ref="R12" si="13">K12*$N12</f>
        <v>0</v>
      </c>
      <c r="S12" s="81">
        <f t="shared" ref="S12" si="14">L12*$N12</f>
        <v>0</v>
      </c>
      <c r="T12" s="143">
        <f t="shared" ref="T12" si="15">SUM(O12:S12)</f>
        <v>50000</v>
      </c>
      <c r="U12" s="155">
        <f t="shared" si="3"/>
        <v>0</v>
      </c>
      <c r="V12" s="148">
        <f t="shared" si="3"/>
        <v>0</v>
      </c>
      <c r="W12" s="148">
        <f t="shared" si="3"/>
        <v>50000</v>
      </c>
      <c r="X12" s="156">
        <f t="shared" si="3"/>
        <v>0</v>
      </c>
    </row>
    <row r="13" spans="2:24" ht="29" x14ac:dyDescent="0.35">
      <c r="B13" s="1" t="s">
        <v>172</v>
      </c>
      <c r="C13" s="284"/>
      <c r="D13" s="189" t="s">
        <v>185</v>
      </c>
      <c r="E13" s="76" t="s">
        <v>265</v>
      </c>
      <c r="F13" s="77"/>
      <c r="G13" s="76" t="s">
        <v>1</v>
      </c>
      <c r="H13" s="51">
        <v>3</v>
      </c>
      <c r="I13" s="51">
        <v>3</v>
      </c>
      <c r="J13" s="51">
        <v>3</v>
      </c>
      <c r="K13" s="51">
        <v>3</v>
      </c>
      <c r="L13" s="51">
        <v>3</v>
      </c>
      <c r="M13" s="56">
        <f>SUM(H13:L13)</f>
        <v>15</v>
      </c>
      <c r="N13" s="80">
        <v>24000</v>
      </c>
      <c r="O13" s="81">
        <f t="shared" ref="O13:S14" si="16">H13*$N13</f>
        <v>72000</v>
      </c>
      <c r="P13" s="81">
        <f t="shared" si="16"/>
        <v>72000</v>
      </c>
      <c r="Q13" s="81">
        <f t="shared" si="16"/>
        <v>72000</v>
      </c>
      <c r="R13" s="81">
        <f t="shared" si="16"/>
        <v>72000</v>
      </c>
      <c r="S13" s="81">
        <f t="shared" si="16"/>
        <v>72000</v>
      </c>
      <c r="T13" s="143">
        <f t="shared" ref="T13" si="17">SUM(O13:S13)</f>
        <v>360000</v>
      </c>
      <c r="U13" s="155">
        <f t="shared" ref="U13:X14" si="18">IF($E13=U$2,$T13,0)</f>
        <v>0</v>
      </c>
      <c r="V13" s="148">
        <f t="shared" si="18"/>
        <v>0</v>
      </c>
      <c r="W13" s="148">
        <f t="shared" si="18"/>
        <v>360000</v>
      </c>
      <c r="X13" s="156">
        <f t="shared" si="18"/>
        <v>0</v>
      </c>
    </row>
    <row r="14" spans="2:24" ht="49.25" customHeight="1" thickBot="1" x14ac:dyDescent="0.4">
      <c r="B14" s="1" t="s">
        <v>171</v>
      </c>
      <c r="C14" s="285"/>
      <c r="D14" s="187" t="s">
        <v>59</v>
      </c>
      <c r="E14" s="76" t="s">
        <v>265</v>
      </c>
      <c r="F14" s="68"/>
      <c r="G14" s="67" t="s">
        <v>1</v>
      </c>
      <c r="H14" s="52">
        <v>3</v>
      </c>
      <c r="I14" s="52">
        <v>3</v>
      </c>
      <c r="J14" s="52">
        <v>3</v>
      </c>
      <c r="K14" s="52">
        <v>3</v>
      </c>
      <c r="L14" s="52">
        <v>3</v>
      </c>
      <c r="M14" s="57">
        <f>SUM(H14:L14)</f>
        <v>15</v>
      </c>
      <c r="N14" s="64">
        <v>60000</v>
      </c>
      <c r="O14" s="49">
        <f>H14*$N14</f>
        <v>180000</v>
      </c>
      <c r="P14" s="49">
        <f t="shared" si="16"/>
        <v>180000</v>
      </c>
      <c r="Q14" s="49">
        <f t="shared" si="16"/>
        <v>180000</v>
      </c>
      <c r="R14" s="49">
        <f t="shared" si="16"/>
        <v>180000</v>
      </c>
      <c r="S14" s="49">
        <f t="shared" si="16"/>
        <v>180000</v>
      </c>
      <c r="T14" s="141">
        <f>SUM(O14:S14)</f>
        <v>900000</v>
      </c>
      <c r="U14" s="157">
        <f t="shared" si="18"/>
        <v>0</v>
      </c>
      <c r="V14" s="158">
        <f t="shared" si="18"/>
        <v>0</v>
      </c>
      <c r="W14" s="158">
        <f t="shared" si="18"/>
        <v>900000</v>
      </c>
      <c r="X14" s="159">
        <f t="shared" si="18"/>
        <v>0</v>
      </c>
    </row>
    <row r="15" spans="2:24" ht="15" thickBot="1" x14ac:dyDescent="0.4">
      <c r="C15" s="16"/>
      <c r="D15" s="9"/>
      <c r="E15" s="9"/>
      <c r="F15" s="9"/>
      <c r="G15" s="9"/>
      <c r="H15" s="9"/>
      <c r="I15" s="9"/>
      <c r="J15" s="5"/>
      <c r="K15" s="5"/>
      <c r="L15" s="5"/>
      <c r="M15" s="5"/>
      <c r="N15" s="4"/>
      <c r="O15" s="39"/>
      <c r="P15" s="39"/>
      <c r="Q15" s="40"/>
      <c r="R15" s="40"/>
      <c r="S15" s="40"/>
      <c r="T15" s="41"/>
      <c r="U15" s="41"/>
      <c r="V15" s="41"/>
      <c r="W15" s="41"/>
      <c r="X15" s="41"/>
    </row>
    <row r="16" spans="2:24" s="45" customFormat="1" ht="15" thickBot="1" x14ac:dyDescent="0.4">
      <c r="C16" s="47"/>
      <c r="D16" s="46"/>
      <c r="E16" s="46"/>
      <c r="F16" s="46"/>
      <c r="G16" s="46"/>
      <c r="H16" s="46"/>
      <c r="I16" s="46"/>
      <c r="J16" s="46"/>
      <c r="K16" s="46"/>
      <c r="L16" s="87"/>
      <c r="M16" s="88"/>
      <c r="N16" s="89" t="s">
        <v>96</v>
      </c>
      <c r="O16" s="83">
        <f>SUM(O4:O14)</f>
        <v>582000</v>
      </c>
      <c r="P16" s="83">
        <f t="shared" ref="P16:S16" si="19">SUM(P4:P14)</f>
        <v>774000</v>
      </c>
      <c r="Q16" s="83">
        <f t="shared" si="19"/>
        <v>345000</v>
      </c>
      <c r="R16" s="83">
        <f t="shared" si="19"/>
        <v>252000</v>
      </c>
      <c r="S16" s="83">
        <f t="shared" si="19"/>
        <v>252000</v>
      </c>
      <c r="T16" s="61">
        <f>SUM(O16:S16)</f>
        <v>2205000</v>
      </c>
      <c r="U16" s="149">
        <f>SUM(U4:U14)</f>
        <v>0</v>
      </c>
      <c r="V16" s="149">
        <f t="shared" ref="V16:X16" si="20">SUM(V4:V14)</f>
        <v>0</v>
      </c>
      <c r="W16" s="149">
        <f t="shared" si="20"/>
        <v>2205000</v>
      </c>
      <c r="X16" s="149">
        <f t="shared" si="20"/>
        <v>0</v>
      </c>
    </row>
    <row r="17" spans="2:24" s="2" customFormat="1" ht="15" thickBot="1" x14ac:dyDescent="0.4">
      <c r="C17" s="16"/>
      <c r="D17" s="9"/>
      <c r="E17" s="9"/>
      <c r="F17" s="9"/>
      <c r="G17" s="9"/>
      <c r="H17" s="9"/>
      <c r="I17" s="9"/>
      <c r="J17" s="5"/>
      <c r="K17" s="5"/>
      <c r="L17" s="5"/>
      <c r="M17" s="5"/>
      <c r="N17" s="4"/>
      <c r="O17" s="41"/>
      <c r="P17" s="41"/>
      <c r="Q17" s="41"/>
      <c r="R17" s="41"/>
      <c r="S17" s="41"/>
      <c r="T17" s="42"/>
      <c r="U17" s="42"/>
      <c r="V17" s="42"/>
      <c r="W17" s="42"/>
      <c r="X17" s="42"/>
    </row>
    <row r="18" spans="2:24" s="71" customFormat="1" ht="43.5" x14ac:dyDescent="0.35">
      <c r="C18" s="75" t="s">
        <v>91</v>
      </c>
      <c r="D18" s="74" t="s">
        <v>7</v>
      </c>
      <c r="E18" s="74" t="s">
        <v>88</v>
      </c>
      <c r="F18" s="74" t="s">
        <v>89</v>
      </c>
      <c r="G18" s="74" t="s">
        <v>26</v>
      </c>
      <c r="H18" s="72">
        <v>2021</v>
      </c>
      <c r="I18" s="72">
        <v>2022</v>
      </c>
      <c r="J18" s="72">
        <v>2023</v>
      </c>
      <c r="K18" s="72">
        <v>2024</v>
      </c>
      <c r="L18" s="72">
        <v>2025</v>
      </c>
      <c r="M18" s="69" t="s">
        <v>36</v>
      </c>
      <c r="N18" s="62" t="s">
        <v>37</v>
      </c>
      <c r="O18" s="73" t="s">
        <v>64</v>
      </c>
      <c r="P18" s="73" t="s">
        <v>39</v>
      </c>
      <c r="Q18" s="73" t="s">
        <v>65</v>
      </c>
      <c r="R18" s="73" t="s">
        <v>66</v>
      </c>
      <c r="S18" s="120" t="s">
        <v>67</v>
      </c>
      <c r="T18" s="151" t="s">
        <v>4</v>
      </c>
      <c r="U18" s="160"/>
      <c r="V18" s="161"/>
      <c r="W18" s="161"/>
      <c r="X18" s="162"/>
    </row>
    <row r="19" spans="2:24" s="45" customFormat="1" x14ac:dyDescent="0.35">
      <c r="B19" s="171" t="s">
        <v>164</v>
      </c>
      <c r="C19" s="286" t="s">
        <v>16</v>
      </c>
      <c r="D19" s="65" t="s">
        <v>68</v>
      </c>
      <c r="E19" s="65"/>
      <c r="F19" s="66"/>
      <c r="G19" s="65" t="s">
        <v>27</v>
      </c>
      <c r="H19" s="51"/>
      <c r="I19" s="51"/>
      <c r="J19" s="51"/>
      <c r="K19" s="51"/>
      <c r="L19" s="51"/>
      <c r="M19" s="56">
        <f>SUM(H19:K19)</f>
        <v>0</v>
      </c>
      <c r="N19" s="63">
        <v>60000</v>
      </c>
      <c r="O19" s="48">
        <f>H19*$N19</f>
        <v>0</v>
      </c>
      <c r="P19" s="48">
        <f>I19*$N19</f>
        <v>0</v>
      </c>
      <c r="Q19" s="48">
        <f>J19*$N19</f>
        <v>0</v>
      </c>
      <c r="R19" s="48">
        <f>K19*$N19</f>
        <v>0</v>
      </c>
      <c r="S19" s="121">
        <f>L19*$N19</f>
        <v>0</v>
      </c>
      <c r="T19" s="140">
        <f>SUM(O19:S19)</f>
        <v>0</v>
      </c>
      <c r="U19" s="155">
        <f t="shared" ref="U19:X35" si="21">IF($E19=U$2,$T19,0)</f>
        <v>0</v>
      </c>
      <c r="V19" s="148">
        <f t="shared" si="21"/>
        <v>0</v>
      </c>
      <c r="W19" s="148">
        <f t="shared" si="21"/>
        <v>0</v>
      </c>
      <c r="X19" s="156">
        <f t="shared" si="21"/>
        <v>0</v>
      </c>
    </row>
    <row r="20" spans="2:24" s="45" customFormat="1" x14ac:dyDescent="0.35">
      <c r="B20" s="171" t="s">
        <v>164</v>
      </c>
      <c r="C20" s="286"/>
      <c r="D20" s="188" t="s">
        <v>62</v>
      </c>
      <c r="E20" s="190" t="s">
        <v>85</v>
      </c>
      <c r="F20" s="66">
        <v>30</v>
      </c>
      <c r="G20" s="65" t="s">
        <v>6</v>
      </c>
      <c r="H20" s="51">
        <v>0.5</v>
      </c>
      <c r="I20" s="51">
        <v>0.5</v>
      </c>
      <c r="J20" s="51"/>
      <c r="K20" s="51"/>
      <c r="L20" s="51"/>
      <c r="M20" s="56">
        <f>SUM(H20:K20)</f>
        <v>1</v>
      </c>
      <c r="N20" s="63">
        <v>800000</v>
      </c>
      <c r="O20" s="48">
        <f t="shared" ref="O20:S35" si="22">H20*$N20</f>
        <v>400000</v>
      </c>
      <c r="P20" s="48">
        <f t="shared" ref="P20:P35" si="23">I20*$N20</f>
        <v>400000</v>
      </c>
      <c r="Q20" s="48">
        <f t="shared" ref="Q20:Q35" si="24">J20*$N20</f>
        <v>0</v>
      </c>
      <c r="R20" s="48">
        <f t="shared" ref="R20:R35" si="25">K20*$N20</f>
        <v>0</v>
      </c>
      <c r="S20" s="121">
        <f t="shared" ref="S20:S35" si="26">L20*$N20</f>
        <v>0</v>
      </c>
      <c r="T20" s="140">
        <f t="shared" ref="T20:T35" si="27">SUM(O20:S20)</f>
        <v>800000</v>
      </c>
      <c r="U20" s="155">
        <f t="shared" si="21"/>
        <v>800000</v>
      </c>
      <c r="V20" s="148">
        <f t="shared" si="21"/>
        <v>0</v>
      </c>
      <c r="W20" s="148">
        <f t="shared" si="21"/>
        <v>0</v>
      </c>
      <c r="X20" s="156">
        <f t="shared" si="21"/>
        <v>0</v>
      </c>
    </row>
    <row r="21" spans="2:24" s="45" customFormat="1" x14ac:dyDescent="0.35">
      <c r="B21" s="171" t="s">
        <v>164</v>
      </c>
      <c r="C21" s="286"/>
      <c r="D21" s="65" t="s">
        <v>63</v>
      </c>
      <c r="E21" s="65"/>
      <c r="F21" s="66"/>
      <c r="G21" s="65" t="s">
        <v>6</v>
      </c>
      <c r="H21" s="51"/>
      <c r="I21" s="51"/>
      <c r="J21" s="51"/>
      <c r="K21" s="51">
        <f t="shared" ref="K21:L21" si="28">K19</f>
        <v>0</v>
      </c>
      <c r="L21" s="51">
        <f t="shared" si="28"/>
        <v>0</v>
      </c>
      <c r="M21" s="56">
        <f t="shared" ref="M21:M35" si="29">SUM(H21:K21)</f>
        <v>0</v>
      </c>
      <c r="N21" s="63">
        <v>50000</v>
      </c>
      <c r="O21" s="48">
        <f t="shared" si="22"/>
        <v>0</v>
      </c>
      <c r="P21" s="48">
        <f t="shared" si="23"/>
        <v>0</v>
      </c>
      <c r="Q21" s="48">
        <f t="shared" si="24"/>
        <v>0</v>
      </c>
      <c r="R21" s="48">
        <f t="shared" si="25"/>
        <v>0</v>
      </c>
      <c r="S21" s="121">
        <f t="shared" si="26"/>
        <v>0</v>
      </c>
      <c r="T21" s="140">
        <f t="shared" si="27"/>
        <v>0</v>
      </c>
      <c r="U21" s="155">
        <f t="shared" si="21"/>
        <v>0</v>
      </c>
      <c r="V21" s="148">
        <f t="shared" si="21"/>
        <v>0</v>
      </c>
      <c r="W21" s="148">
        <f t="shared" si="21"/>
        <v>0</v>
      </c>
      <c r="X21" s="156">
        <f t="shared" si="21"/>
        <v>0</v>
      </c>
    </row>
    <row r="22" spans="2:24" s="45" customFormat="1" x14ac:dyDescent="0.35">
      <c r="B22" s="171" t="s">
        <v>164</v>
      </c>
      <c r="C22" s="286"/>
      <c r="D22" s="65" t="s">
        <v>69</v>
      </c>
      <c r="E22" s="76" t="s">
        <v>265</v>
      </c>
      <c r="F22" s="66">
        <v>10</v>
      </c>
      <c r="G22" s="65" t="s">
        <v>27</v>
      </c>
      <c r="H22" s="51">
        <v>15</v>
      </c>
      <c r="I22" s="51">
        <v>15</v>
      </c>
      <c r="J22" s="51">
        <v>15</v>
      </c>
      <c r="K22" s="51"/>
      <c r="L22" s="51"/>
      <c r="M22" s="56">
        <f t="shared" si="29"/>
        <v>45</v>
      </c>
      <c r="N22" s="63">
        <v>15000</v>
      </c>
      <c r="O22" s="48">
        <f t="shared" si="22"/>
        <v>225000</v>
      </c>
      <c r="P22" s="48">
        <f t="shared" si="23"/>
        <v>225000</v>
      </c>
      <c r="Q22" s="48">
        <f t="shared" si="24"/>
        <v>225000</v>
      </c>
      <c r="R22" s="48">
        <f t="shared" si="25"/>
        <v>0</v>
      </c>
      <c r="S22" s="121">
        <f t="shared" si="26"/>
        <v>0</v>
      </c>
      <c r="T22" s="140">
        <f t="shared" si="27"/>
        <v>675000</v>
      </c>
      <c r="U22" s="155">
        <f t="shared" si="21"/>
        <v>0</v>
      </c>
      <c r="V22" s="148">
        <f t="shared" si="21"/>
        <v>0</v>
      </c>
      <c r="W22" s="148">
        <f t="shared" si="21"/>
        <v>675000</v>
      </c>
      <c r="X22" s="156">
        <f t="shared" si="21"/>
        <v>0</v>
      </c>
    </row>
    <row r="23" spans="2:24" s="45" customFormat="1" x14ac:dyDescent="0.35">
      <c r="B23" s="171" t="s">
        <v>164</v>
      </c>
      <c r="C23" s="286"/>
      <c r="D23" s="65" t="s">
        <v>124</v>
      </c>
      <c r="E23" s="76" t="s">
        <v>265</v>
      </c>
      <c r="F23" s="66">
        <v>10</v>
      </c>
      <c r="G23" s="65" t="s">
        <v>27</v>
      </c>
      <c r="H23" s="51">
        <v>25</v>
      </c>
      <c r="I23" s="51">
        <v>25</v>
      </c>
      <c r="J23" s="51">
        <v>25</v>
      </c>
      <c r="K23" s="51"/>
      <c r="L23" s="51"/>
      <c r="M23" s="56">
        <f t="shared" ref="M23:M27" si="30">SUM(H23:L23)</f>
        <v>75</v>
      </c>
      <c r="N23" s="63">
        <v>500</v>
      </c>
      <c r="O23" s="48">
        <f t="shared" si="22"/>
        <v>12500</v>
      </c>
      <c r="P23" s="48">
        <f t="shared" si="22"/>
        <v>12500</v>
      </c>
      <c r="Q23" s="48">
        <f t="shared" si="22"/>
        <v>12500</v>
      </c>
      <c r="R23" s="48">
        <f t="shared" si="22"/>
        <v>0</v>
      </c>
      <c r="S23" s="121">
        <f t="shared" si="22"/>
        <v>0</v>
      </c>
      <c r="T23" s="140">
        <f t="shared" si="27"/>
        <v>37500</v>
      </c>
      <c r="U23" s="155">
        <f t="shared" si="21"/>
        <v>0</v>
      </c>
      <c r="V23" s="148">
        <f t="shared" si="21"/>
        <v>0</v>
      </c>
      <c r="W23" s="148">
        <f t="shared" si="21"/>
        <v>37500</v>
      </c>
      <c r="X23" s="156">
        <f t="shared" si="21"/>
        <v>0</v>
      </c>
    </row>
    <row r="24" spans="2:24" s="45" customFormat="1" x14ac:dyDescent="0.35">
      <c r="B24" s="171" t="s">
        <v>164</v>
      </c>
      <c r="C24" s="286"/>
      <c r="D24" s="65" t="s">
        <v>125</v>
      </c>
      <c r="E24" s="76" t="s">
        <v>265</v>
      </c>
      <c r="F24" s="66">
        <v>10</v>
      </c>
      <c r="G24" s="65" t="s">
        <v>27</v>
      </c>
      <c r="H24" s="51">
        <v>5</v>
      </c>
      <c r="I24" s="51">
        <v>5</v>
      </c>
      <c r="J24" s="51">
        <v>5</v>
      </c>
      <c r="K24" s="51"/>
      <c r="L24" s="51"/>
      <c r="M24" s="56">
        <f t="shared" si="30"/>
        <v>15</v>
      </c>
      <c r="N24" s="63">
        <v>5000</v>
      </c>
      <c r="O24" s="48">
        <f t="shared" si="22"/>
        <v>25000</v>
      </c>
      <c r="P24" s="48">
        <f t="shared" si="22"/>
        <v>25000</v>
      </c>
      <c r="Q24" s="48">
        <f t="shared" si="22"/>
        <v>25000</v>
      </c>
      <c r="R24" s="48">
        <f t="shared" si="22"/>
        <v>0</v>
      </c>
      <c r="S24" s="121">
        <f t="shared" si="22"/>
        <v>0</v>
      </c>
      <c r="T24" s="140">
        <f t="shared" si="27"/>
        <v>75000</v>
      </c>
      <c r="U24" s="155">
        <f t="shared" si="21"/>
        <v>0</v>
      </c>
      <c r="V24" s="148">
        <f t="shared" si="21"/>
        <v>0</v>
      </c>
      <c r="W24" s="148">
        <f t="shared" si="21"/>
        <v>75000</v>
      </c>
      <c r="X24" s="156">
        <f t="shared" si="21"/>
        <v>0</v>
      </c>
    </row>
    <row r="25" spans="2:24" s="45" customFormat="1" x14ac:dyDescent="0.35">
      <c r="B25" s="171" t="s">
        <v>164</v>
      </c>
      <c r="C25" s="286"/>
      <c r="D25" s="65" t="s">
        <v>126</v>
      </c>
      <c r="E25" s="76" t="s">
        <v>265</v>
      </c>
      <c r="F25" s="66">
        <v>10</v>
      </c>
      <c r="G25" s="65" t="s">
        <v>27</v>
      </c>
      <c r="H25" s="51"/>
      <c r="I25" s="51">
        <v>1</v>
      </c>
      <c r="J25" s="51"/>
      <c r="K25" s="51"/>
      <c r="L25" s="51"/>
      <c r="M25" s="56">
        <f t="shared" si="30"/>
        <v>1</v>
      </c>
      <c r="N25" s="63">
        <v>50000</v>
      </c>
      <c r="O25" s="48">
        <f t="shared" si="22"/>
        <v>0</v>
      </c>
      <c r="P25" s="48">
        <f t="shared" si="22"/>
        <v>50000</v>
      </c>
      <c r="Q25" s="48">
        <f t="shared" si="22"/>
        <v>0</v>
      </c>
      <c r="R25" s="48">
        <f t="shared" si="22"/>
        <v>0</v>
      </c>
      <c r="S25" s="121">
        <f t="shared" si="22"/>
        <v>0</v>
      </c>
      <c r="T25" s="140">
        <f t="shared" si="27"/>
        <v>50000</v>
      </c>
      <c r="U25" s="155">
        <f t="shared" si="21"/>
        <v>0</v>
      </c>
      <c r="V25" s="148">
        <f t="shared" si="21"/>
        <v>0</v>
      </c>
      <c r="W25" s="148">
        <f t="shared" si="21"/>
        <v>50000</v>
      </c>
      <c r="X25" s="156">
        <f t="shared" si="21"/>
        <v>0</v>
      </c>
    </row>
    <row r="26" spans="2:24" s="45" customFormat="1" x14ac:dyDescent="0.35">
      <c r="B26" s="171" t="s">
        <v>164</v>
      </c>
      <c r="C26" s="286"/>
      <c r="D26" s="65" t="s">
        <v>127</v>
      </c>
      <c r="E26" s="76" t="s">
        <v>265</v>
      </c>
      <c r="F26" s="66">
        <v>10</v>
      </c>
      <c r="G26" s="65" t="s">
        <v>27</v>
      </c>
      <c r="H26" s="51"/>
      <c r="I26" s="51">
        <v>1</v>
      </c>
      <c r="J26" s="51"/>
      <c r="K26" s="51"/>
      <c r="L26" s="51"/>
      <c r="M26" s="56">
        <f t="shared" si="30"/>
        <v>1</v>
      </c>
      <c r="N26" s="63">
        <v>6000</v>
      </c>
      <c r="O26" s="48">
        <f t="shared" si="22"/>
        <v>0</v>
      </c>
      <c r="P26" s="48">
        <f t="shared" si="22"/>
        <v>6000</v>
      </c>
      <c r="Q26" s="48">
        <f t="shared" si="22"/>
        <v>0</v>
      </c>
      <c r="R26" s="48">
        <f t="shared" si="22"/>
        <v>0</v>
      </c>
      <c r="S26" s="121">
        <f t="shared" si="22"/>
        <v>0</v>
      </c>
      <c r="T26" s="140">
        <f t="shared" si="27"/>
        <v>6000</v>
      </c>
      <c r="U26" s="155">
        <f t="shared" si="21"/>
        <v>0</v>
      </c>
      <c r="V26" s="148">
        <f t="shared" si="21"/>
        <v>0</v>
      </c>
      <c r="W26" s="148">
        <f t="shared" si="21"/>
        <v>6000</v>
      </c>
      <c r="X26" s="156">
        <f t="shared" si="21"/>
        <v>0</v>
      </c>
    </row>
    <row r="27" spans="2:24" s="45" customFormat="1" x14ac:dyDescent="0.35">
      <c r="B27" s="171" t="s">
        <v>164</v>
      </c>
      <c r="C27" s="286"/>
      <c r="D27" s="65" t="s">
        <v>128</v>
      </c>
      <c r="E27" s="76" t="s">
        <v>265</v>
      </c>
      <c r="F27" s="66">
        <v>10</v>
      </c>
      <c r="G27" s="65" t="s">
        <v>27</v>
      </c>
      <c r="H27" s="51">
        <v>1</v>
      </c>
      <c r="I27" s="51"/>
      <c r="J27" s="51"/>
      <c r="K27" s="51"/>
      <c r="L27" s="51"/>
      <c r="M27" s="56">
        <f t="shared" si="30"/>
        <v>1</v>
      </c>
      <c r="N27" s="63">
        <v>20000</v>
      </c>
      <c r="O27" s="48">
        <f t="shared" si="22"/>
        <v>20000</v>
      </c>
      <c r="P27" s="48">
        <f t="shared" si="22"/>
        <v>0</v>
      </c>
      <c r="Q27" s="48">
        <f t="shared" si="22"/>
        <v>0</v>
      </c>
      <c r="R27" s="48">
        <f t="shared" si="22"/>
        <v>0</v>
      </c>
      <c r="S27" s="121">
        <f t="shared" si="22"/>
        <v>0</v>
      </c>
      <c r="T27" s="140">
        <f t="shared" si="27"/>
        <v>20000</v>
      </c>
      <c r="U27" s="155">
        <f t="shared" si="21"/>
        <v>0</v>
      </c>
      <c r="V27" s="148">
        <f t="shared" si="21"/>
        <v>0</v>
      </c>
      <c r="W27" s="148">
        <f t="shared" si="21"/>
        <v>20000</v>
      </c>
      <c r="X27" s="156">
        <f t="shared" si="21"/>
        <v>0</v>
      </c>
    </row>
    <row r="28" spans="2:24" s="45" customFormat="1" x14ac:dyDescent="0.35">
      <c r="B28" s="171" t="s">
        <v>164</v>
      </c>
      <c r="C28" s="286"/>
      <c r="D28" s="65" t="s">
        <v>130</v>
      </c>
      <c r="E28" s="76" t="s">
        <v>265</v>
      </c>
      <c r="F28" s="66">
        <v>10</v>
      </c>
      <c r="G28" s="65" t="s">
        <v>27</v>
      </c>
      <c r="H28" s="51">
        <v>1</v>
      </c>
      <c r="I28" s="51">
        <v>1</v>
      </c>
      <c r="J28" s="51"/>
      <c r="K28" s="51"/>
      <c r="L28" s="51"/>
      <c r="M28" s="56">
        <f>SUM(H28:L28)</f>
        <v>2</v>
      </c>
      <c r="N28" s="63">
        <v>20000</v>
      </c>
      <c r="O28" s="48">
        <f t="shared" si="22"/>
        <v>20000</v>
      </c>
      <c r="P28" s="48">
        <f t="shared" si="22"/>
        <v>20000</v>
      </c>
      <c r="Q28" s="48">
        <f t="shared" si="22"/>
        <v>0</v>
      </c>
      <c r="R28" s="48">
        <f t="shared" si="22"/>
        <v>0</v>
      </c>
      <c r="S28" s="121">
        <f t="shared" si="22"/>
        <v>0</v>
      </c>
      <c r="T28" s="140">
        <f t="shared" si="27"/>
        <v>40000</v>
      </c>
      <c r="U28" s="155">
        <f t="shared" si="21"/>
        <v>0</v>
      </c>
      <c r="V28" s="148">
        <f t="shared" si="21"/>
        <v>0</v>
      </c>
      <c r="W28" s="148">
        <f t="shared" si="21"/>
        <v>40000</v>
      </c>
      <c r="X28" s="156">
        <f t="shared" si="21"/>
        <v>0</v>
      </c>
    </row>
    <row r="29" spans="2:24" s="45" customFormat="1" x14ac:dyDescent="0.35">
      <c r="B29" s="171" t="s">
        <v>164</v>
      </c>
      <c r="C29" s="286"/>
      <c r="D29" s="65" t="s">
        <v>129</v>
      </c>
      <c r="E29" s="76" t="s">
        <v>265</v>
      </c>
      <c r="F29" s="66">
        <v>10</v>
      </c>
      <c r="G29" s="65" t="s">
        <v>27</v>
      </c>
      <c r="H29" s="51"/>
      <c r="I29" s="51">
        <v>1</v>
      </c>
      <c r="J29" s="51"/>
      <c r="K29" s="51"/>
      <c r="L29" s="51"/>
      <c r="M29" s="56">
        <f>SUM(H29:L29)</f>
        <v>1</v>
      </c>
      <c r="N29" s="63">
        <v>10000</v>
      </c>
      <c r="O29" s="48">
        <f t="shared" si="22"/>
        <v>0</v>
      </c>
      <c r="P29" s="48">
        <f t="shared" si="22"/>
        <v>10000</v>
      </c>
      <c r="Q29" s="48">
        <f>J29*$N29</f>
        <v>0</v>
      </c>
      <c r="R29" s="48">
        <f t="shared" si="22"/>
        <v>0</v>
      </c>
      <c r="S29" s="121">
        <f t="shared" si="22"/>
        <v>0</v>
      </c>
      <c r="T29" s="140">
        <f t="shared" si="27"/>
        <v>10000</v>
      </c>
      <c r="U29" s="155">
        <f t="shared" si="21"/>
        <v>0</v>
      </c>
      <c r="V29" s="148">
        <f t="shared" si="21"/>
        <v>0</v>
      </c>
      <c r="W29" s="148">
        <f t="shared" si="21"/>
        <v>10000</v>
      </c>
      <c r="X29" s="156">
        <f t="shared" si="21"/>
        <v>0</v>
      </c>
    </row>
    <row r="30" spans="2:24" s="45" customFormat="1" x14ac:dyDescent="0.35">
      <c r="B30" s="171" t="s">
        <v>164</v>
      </c>
      <c r="C30" s="286"/>
      <c r="D30" s="65" t="s">
        <v>231</v>
      </c>
      <c r="E30" s="76" t="s">
        <v>265</v>
      </c>
      <c r="F30" s="66">
        <v>5</v>
      </c>
      <c r="G30" s="65" t="s">
        <v>27</v>
      </c>
      <c r="H30" s="51">
        <v>1</v>
      </c>
      <c r="I30" s="51">
        <v>2</v>
      </c>
      <c r="J30" s="51"/>
      <c r="K30" s="51"/>
      <c r="L30" s="51"/>
      <c r="M30" s="56">
        <f t="shared" si="29"/>
        <v>3</v>
      </c>
      <c r="N30" s="63">
        <v>100000</v>
      </c>
      <c r="O30" s="48">
        <f t="shared" si="22"/>
        <v>100000</v>
      </c>
      <c r="P30" s="48">
        <f t="shared" si="23"/>
        <v>200000</v>
      </c>
      <c r="Q30" s="48">
        <f t="shared" si="24"/>
        <v>0</v>
      </c>
      <c r="R30" s="48">
        <f t="shared" si="25"/>
        <v>0</v>
      </c>
      <c r="S30" s="121">
        <f t="shared" si="26"/>
        <v>0</v>
      </c>
      <c r="T30" s="140">
        <f t="shared" si="27"/>
        <v>300000</v>
      </c>
      <c r="U30" s="155">
        <f t="shared" si="21"/>
        <v>0</v>
      </c>
      <c r="V30" s="148">
        <f t="shared" si="21"/>
        <v>0</v>
      </c>
      <c r="W30" s="148">
        <f t="shared" si="21"/>
        <v>300000</v>
      </c>
      <c r="X30" s="156">
        <f t="shared" si="21"/>
        <v>0</v>
      </c>
    </row>
    <row r="31" spans="2:24" s="45" customFormat="1" x14ac:dyDescent="0.35">
      <c r="B31" s="171" t="s">
        <v>164</v>
      </c>
      <c r="C31" s="286"/>
      <c r="D31" s="65" t="s">
        <v>240</v>
      </c>
      <c r="E31" s="76" t="s">
        <v>265</v>
      </c>
      <c r="F31" s="66">
        <v>20</v>
      </c>
      <c r="G31" s="65" t="s">
        <v>27</v>
      </c>
      <c r="H31" s="51"/>
      <c r="I31" s="51">
        <v>1</v>
      </c>
      <c r="J31" s="51"/>
      <c r="K31" s="51"/>
      <c r="L31" s="51"/>
      <c r="M31" s="56">
        <f t="shared" si="29"/>
        <v>1</v>
      </c>
      <c r="N31" s="63">
        <v>300000</v>
      </c>
      <c r="O31" s="48">
        <f t="shared" si="22"/>
        <v>0</v>
      </c>
      <c r="P31" s="48">
        <f t="shared" si="23"/>
        <v>300000</v>
      </c>
      <c r="Q31" s="48">
        <f t="shared" si="24"/>
        <v>0</v>
      </c>
      <c r="R31" s="48">
        <f t="shared" si="25"/>
        <v>0</v>
      </c>
      <c r="S31" s="121">
        <f t="shared" si="26"/>
        <v>0</v>
      </c>
      <c r="T31" s="140">
        <f t="shared" si="27"/>
        <v>300000</v>
      </c>
      <c r="U31" s="155">
        <f t="shared" si="21"/>
        <v>0</v>
      </c>
      <c r="V31" s="148">
        <f t="shared" si="21"/>
        <v>0</v>
      </c>
      <c r="W31" s="148">
        <f t="shared" si="21"/>
        <v>300000</v>
      </c>
      <c r="X31" s="156">
        <f t="shared" si="21"/>
        <v>0</v>
      </c>
    </row>
    <row r="32" spans="2:24" s="45" customFormat="1" ht="29" x14ac:dyDescent="0.35">
      <c r="B32" s="171" t="s">
        <v>164</v>
      </c>
      <c r="C32" s="286"/>
      <c r="D32" s="65" t="s">
        <v>232</v>
      </c>
      <c r="E32" s="76" t="s">
        <v>265</v>
      </c>
      <c r="F32" s="66">
        <v>10</v>
      </c>
      <c r="G32" s="65" t="s">
        <v>27</v>
      </c>
      <c r="H32" s="51"/>
      <c r="I32" s="51">
        <v>1</v>
      </c>
      <c r="J32" s="51">
        <v>1</v>
      </c>
      <c r="K32" s="51"/>
      <c r="L32" s="51"/>
      <c r="M32" s="56">
        <f t="shared" si="29"/>
        <v>2</v>
      </c>
      <c r="N32" s="63">
        <v>480000</v>
      </c>
      <c r="O32" s="48">
        <f t="shared" si="22"/>
        <v>0</v>
      </c>
      <c r="P32" s="48">
        <f t="shared" si="23"/>
        <v>480000</v>
      </c>
      <c r="Q32" s="48">
        <f t="shared" si="24"/>
        <v>480000</v>
      </c>
      <c r="R32" s="48">
        <f t="shared" si="25"/>
        <v>0</v>
      </c>
      <c r="S32" s="121">
        <f t="shared" si="26"/>
        <v>0</v>
      </c>
      <c r="T32" s="140">
        <f t="shared" si="27"/>
        <v>960000</v>
      </c>
      <c r="U32" s="155">
        <f t="shared" si="21"/>
        <v>0</v>
      </c>
      <c r="V32" s="148">
        <f t="shared" si="21"/>
        <v>0</v>
      </c>
      <c r="W32" s="148">
        <f t="shared" si="21"/>
        <v>960000</v>
      </c>
      <c r="X32" s="156">
        <f t="shared" si="21"/>
        <v>0</v>
      </c>
    </row>
    <row r="33" spans="2:24" s="45" customFormat="1" x14ac:dyDescent="0.35">
      <c r="B33" s="171" t="s">
        <v>164</v>
      </c>
      <c r="C33" s="286"/>
      <c r="D33" s="65" t="s">
        <v>14</v>
      </c>
      <c r="E33" s="76" t="s">
        <v>265</v>
      </c>
      <c r="F33" s="66">
        <v>15</v>
      </c>
      <c r="G33" s="65" t="s">
        <v>27</v>
      </c>
      <c r="H33" s="51"/>
      <c r="I33" s="51">
        <v>1</v>
      </c>
      <c r="J33" s="51"/>
      <c r="K33" s="51"/>
      <c r="L33" s="51"/>
      <c r="M33" s="56">
        <f t="shared" si="29"/>
        <v>1</v>
      </c>
      <c r="N33" s="63">
        <v>240000</v>
      </c>
      <c r="O33" s="48">
        <f t="shared" si="22"/>
        <v>0</v>
      </c>
      <c r="P33" s="48">
        <f t="shared" si="23"/>
        <v>240000</v>
      </c>
      <c r="Q33" s="48">
        <f t="shared" si="24"/>
        <v>0</v>
      </c>
      <c r="R33" s="48">
        <f t="shared" si="25"/>
        <v>0</v>
      </c>
      <c r="S33" s="121">
        <f t="shared" si="26"/>
        <v>0</v>
      </c>
      <c r="T33" s="140">
        <f t="shared" si="27"/>
        <v>240000</v>
      </c>
      <c r="U33" s="155">
        <f t="shared" si="21"/>
        <v>0</v>
      </c>
      <c r="V33" s="148">
        <f t="shared" si="21"/>
        <v>0</v>
      </c>
      <c r="W33" s="148">
        <f t="shared" si="21"/>
        <v>240000</v>
      </c>
      <c r="X33" s="156">
        <f t="shared" si="21"/>
        <v>0</v>
      </c>
    </row>
    <row r="34" spans="2:24" s="45" customFormat="1" x14ac:dyDescent="0.35">
      <c r="B34" s="171" t="s">
        <v>164</v>
      </c>
      <c r="C34" s="286"/>
      <c r="D34" s="65" t="s">
        <v>2</v>
      </c>
      <c r="E34" s="76" t="s">
        <v>265</v>
      </c>
      <c r="F34" s="66">
        <v>20</v>
      </c>
      <c r="G34" s="65" t="s">
        <v>27</v>
      </c>
      <c r="H34" s="51"/>
      <c r="I34" s="51">
        <v>1</v>
      </c>
      <c r="J34" s="51"/>
      <c r="K34" s="51"/>
      <c r="L34" s="51"/>
      <c r="M34" s="56">
        <f t="shared" si="29"/>
        <v>1</v>
      </c>
      <c r="N34" s="63">
        <v>2500000</v>
      </c>
      <c r="O34" s="48">
        <f t="shared" si="22"/>
        <v>0</v>
      </c>
      <c r="P34" s="48">
        <f t="shared" si="23"/>
        <v>2500000</v>
      </c>
      <c r="Q34" s="48">
        <f t="shared" si="24"/>
        <v>0</v>
      </c>
      <c r="R34" s="48">
        <f t="shared" si="25"/>
        <v>0</v>
      </c>
      <c r="S34" s="121">
        <f t="shared" si="26"/>
        <v>0</v>
      </c>
      <c r="T34" s="140">
        <f t="shared" si="27"/>
        <v>2500000</v>
      </c>
      <c r="U34" s="155">
        <f t="shared" si="21"/>
        <v>0</v>
      </c>
      <c r="V34" s="148">
        <f t="shared" si="21"/>
        <v>0</v>
      </c>
      <c r="W34" s="148">
        <f t="shared" si="21"/>
        <v>2500000</v>
      </c>
      <c r="X34" s="156">
        <f t="shared" si="21"/>
        <v>0</v>
      </c>
    </row>
    <row r="35" spans="2:24" s="45" customFormat="1" ht="15" thickBot="1" x14ac:dyDescent="0.4">
      <c r="B35" s="171" t="s">
        <v>164</v>
      </c>
      <c r="C35" s="287"/>
      <c r="D35" s="187" t="s">
        <v>241</v>
      </c>
      <c r="E35" s="76" t="s">
        <v>265</v>
      </c>
      <c r="F35" s="68">
        <v>30</v>
      </c>
      <c r="G35" s="67" t="s">
        <v>6</v>
      </c>
      <c r="H35" s="52">
        <f>H34</f>
        <v>0</v>
      </c>
      <c r="I35" s="52"/>
      <c r="J35" s="52">
        <f t="shared" ref="J35:L35" si="31">J34</f>
        <v>0</v>
      </c>
      <c r="K35" s="52">
        <f t="shared" si="31"/>
        <v>0</v>
      </c>
      <c r="L35" s="52">
        <f t="shared" si="31"/>
        <v>0</v>
      </c>
      <c r="M35" s="57">
        <f t="shared" si="29"/>
        <v>0</v>
      </c>
      <c r="N35" s="64">
        <v>500000</v>
      </c>
      <c r="O35" s="49">
        <f t="shared" si="22"/>
        <v>0</v>
      </c>
      <c r="P35" s="49">
        <f t="shared" si="23"/>
        <v>0</v>
      </c>
      <c r="Q35" s="49">
        <f t="shared" si="24"/>
        <v>0</v>
      </c>
      <c r="R35" s="49">
        <f t="shared" si="25"/>
        <v>0</v>
      </c>
      <c r="S35" s="122">
        <f t="shared" si="26"/>
        <v>0</v>
      </c>
      <c r="T35" s="141">
        <f t="shared" si="27"/>
        <v>0</v>
      </c>
      <c r="U35" s="157">
        <f t="shared" si="21"/>
        <v>0</v>
      </c>
      <c r="V35" s="158">
        <f t="shared" si="21"/>
        <v>0</v>
      </c>
      <c r="W35" s="158">
        <f t="shared" si="21"/>
        <v>0</v>
      </c>
      <c r="X35" s="159">
        <f t="shared" si="21"/>
        <v>0</v>
      </c>
    </row>
    <row r="36" spans="2:24" s="45" customFormat="1" ht="15" thickBot="1" x14ac:dyDescent="0.4">
      <c r="C36" s="46"/>
      <c r="D36" s="46"/>
      <c r="E36" s="46"/>
      <c r="F36" s="46"/>
      <c r="G36" s="46"/>
      <c r="H36" s="46"/>
      <c r="I36" s="46"/>
      <c r="J36" s="46"/>
      <c r="K36" s="46"/>
      <c r="L36" s="46"/>
      <c r="M36" s="46"/>
      <c r="N36" s="46"/>
      <c r="O36" s="46"/>
      <c r="P36" s="46"/>
      <c r="Q36" s="46"/>
      <c r="R36" s="46"/>
      <c r="S36" s="46"/>
      <c r="T36" s="46"/>
      <c r="U36" s="46"/>
      <c r="V36" s="46"/>
      <c r="W36" s="46"/>
      <c r="X36" s="46"/>
    </row>
    <row r="37" spans="2:24" s="45" customFormat="1" ht="15" thickBot="1" x14ac:dyDescent="0.4">
      <c r="C37" s="47"/>
      <c r="D37" s="46"/>
      <c r="E37" s="46"/>
      <c r="F37" s="46"/>
      <c r="G37" s="46"/>
      <c r="H37" s="46"/>
      <c r="I37" s="46"/>
      <c r="J37" s="46"/>
      <c r="K37" s="46"/>
      <c r="L37" s="87"/>
      <c r="M37" s="88"/>
      <c r="N37" s="89" t="s">
        <v>94</v>
      </c>
      <c r="O37" s="83">
        <f>SUM(O19:O35)</f>
        <v>802500</v>
      </c>
      <c r="P37" s="84">
        <f>SUM(P19:P35)</f>
        <v>4468500</v>
      </c>
      <c r="Q37" s="84">
        <f>SUM(Q19:Q35)</f>
        <v>742500</v>
      </c>
      <c r="R37" s="84">
        <f>SUM(R19:R35)</f>
        <v>0</v>
      </c>
      <c r="S37" s="85">
        <f>SUM(S19:S35)</f>
        <v>0</v>
      </c>
      <c r="T37" s="61">
        <f>SUM(O37:S37)</f>
        <v>6013500</v>
      </c>
      <c r="U37" s="147">
        <f>SUM(U19:U35)</f>
        <v>800000</v>
      </c>
      <c r="V37" s="149">
        <f t="shared" ref="V37:X37" si="32">SUM(V19:V35)</f>
        <v>0</v>
      </c>
      <c r="W37" s="149">
        <f t="shared" si="32"/>
        <v>5213500</v>
      </c>
      <c r="X37" s="150">
        <f t="shared" si="32"/>
        <v>0</v>
      </c>
    </row>
    <row r="38" spans="2:24" x14ac:dyDescent="0.35">
      <c r="C38" s="11"/>
      <c r="D38" s="2"/>
      <c r="E38" s="2"/>
      <c r="F38" s="2"/>
      <c r="G38" s="2"/>
      <c r="H38" s="2"/>
      <c r="I38" s="2"/>
      <c r="J38" s="2"/>
      <c r="K38" s="2"/>
      <c r="L38" s="2"/>
      <c r="M38" s="2"/>
      <c r="N38" s="36"/>
      <c r="O38" s="37"/>
      <c r="P38" s="37"/>
      <c r="Q38" s="37"/>
      <c r="R38" s="37"/>
      <c r="S38" s="37"/>
      <c r="T38" s="38"/>
      <c r="U38" s="38"/>
      <c r="V38" s="38"/>
      <c r="W38" s="38"/>
      <c r="X38" s="38"/>
    </row>
    <row r="39" spans="2:24" ht="15" thickBot="1" x14ac:dyDescent="0.4">
      <c r="C39" s="9"/>
      <c r="D39" s="2"/>
      <c r="E39" s="2"/>
      <c r="F39" s="2"/>
      <c r="G39" s="2"/>
      <c r="H39" s="2"/>
      <c r="I39" s="2"/>
      <c r="J39" s="2"/>
      <c r="K39" s="2"/>
      <c r="L39" s="2"/>
      <c r="M39" s="2"/>
      <c r="N39" s="36"/>
      <c r="O39" s="37"/>
      <c r="P39" s="37"/>
      <c r="Q39" s="37"/>
      <c r="R39" s="37"/>
      <c r="S39" s="37"/>
      <c r="T39" s="38"/>
      <c r="U39" s="38"/>
      <c r="V39" s="38"/>
      <c r="W39" s="38"/>
      <c r="X39" s="38"/>
    </row>
    <row r="40" spans="2:24" s="71" customFormat="1" ht="43.5" x14ac:dyDescent="0.35">
      <c r="C40" s="75" t="s">
        <v>91</v>
      </c>
      <c r="D40" s="74" t="s">
        <v>7</v>
      </c>
      <c r="E40" s="74" t="str">
        <f t="shared" ref="E40:F40" si="33">E18</f>
        <v>Fin.
AFD, EU, GCF, GVNT</v>
      </c>
      <c r="F40" s="74" t="str">
        <f t="shared" si="33"/>
        <v>Durée de vie (an)</v>
      </c>
      <c r="G40" s="74" t="s">
        <v>26</v>
      </c>
      <c r="H40" s="72">
        <v>2021</v>
      </c>
      <c r="I40" s="72">
        <v>2022</v>
      </c>
      <c r="J40" s="72">
        <v>2023</v>
      </c>
      <c r="K40" s="72">
        <v>2024</v>
      </c>
      <c r="L40" s="72">
        <v>2025</v>
      </c>
      <c r="M40" s="69" t="s">
        <v>36</v>
      </c>
      <c r="N40" s="62" t="s">
        <v>37</v>
      </c>
      <c r="O40" s="73" t="s">
        <v>64</v>
      </c>
      <c r="P40" s="73" t="s">
        <v>39</v>
      </c>
      <c r="Q40" s="73" t="s">
        <v>65</v>
      </c>
      <c r="R40" s="73" t="s">
        <v>66</v>
      </c>
      <c r="S40" s="73" t="s">
        <v>67</v>
      </c>
      <c r="T40" s="151" t="s">
        <v>5</v>
      </c>
      <c r="U40" s="160"/>
      <c r="V40" s="161"/>
      <c r="W40" s="161"/>
      <c r="X40" s="162"/>
    </row>
    <row r="41" spans="2:24" x14ac:dyDescent="0.35">
      <c r="B41" s="170" t="s">
        <v>165</v>
      </c>
      <c r="C41" s="288" t="s">
        <v>13</v>
      </c>
      <c r="D41" s="65" t="s">
        <v>18</v>
      </c>
      <c r="E41" s="76" t="s">
        <v>265</v>
      </c>
      <c r="F41" s="66">
        <v>10</v>
      </c>
      <c r="G41" s="65" t="s">
        <v>28</v>
      </c>
      <c r="H41" s="51">
        <v>1</v>
      </c>
      <c r="I41" s="51"/>
      <c r="J41" s="51"/>
      <c r="K41" s="51"/>
      <c r="L41" s="51"/>
      <c r="M41" s="56">
        <f>SUM(H41:L41)</f>
        <v>1</v>
      </c>
      <c r="N41" s="63">
        <v>300000</v>
      </c>
      <c r="O41" s="48">
        <f>H41*$N41</f>
        <v>300000</v>
      </c>
      <c r="P41" s="48">
        <f>I41*$N41</f>
        <v>0</v>
      </c>
      <c r="Q41" s="48">
        <f>J41*$N41</f>
        <v>0</v>
      </c>
      <c r="R41" s="48">
        <f>K41*$N41</f>
        <v>0</v>
      </c>
      <c r="S41" s="48">
        <f>L41*$N41</f>
        <v>0</v>
      </c>
      <c r="T41" s="140">
        <f>SUM(O41:S41)</f>
        <v>300000</v>
      </c>
      <c r="U41" s="155">
        <f t="shared" ref="U41:X52" si="34">IF($E41=U$2,$T41,0)</f>
        <v>0</v>
      </c>
      <c r="V41" s="148">
        <f t="shared" si="34"/>
        <v>0</v>
      </c>
      <c r="W41" s="148">
        <f t="shared" si="34"/>
        <v>300000</v>
      </c>
      <c r="X41" s="156">
        <f t="shared" si="34"/>
        <v>0</v>
      </c>
    </row>
    <row r="42" spans="2:24" x14ac:dyDescent="0.35">
      <c r="B42" s="170" t="s">
        <v>165</v>
      </c>
      <c r="C42" s="284"/>
      <c r="D42" s="65" t="s">
        <v>80</v>
      </c>
      <c r="E42" s="76" t="s">
        <v>265</v>
      </c>
      <c r="F42" s="66">
        <v>10</v>
      </c>
      <c r="G42" s="65" t="s">
        <v>27</v>
      </c>
      <c r="H42" s="51">
        <v>1</v>
      </c>
      <c r="I42" s="51"/>
      <c r="J42" s="51"/>
      <c r="K42" s="51"/>
      <c r="L42" s="51"/>
      <c r="M42" s="56">
        <f t="shared" ref="M42:M52" si="35">SUM(H42:L42)</f>
        <v>1</v>
      </c>
      <c r="N42" s="63">
        <v>300000</v>
      </c>
      <c r="O42" s="48">
        <f t="shared" ref="O42:O52" si="36">H42*$N42</f>
        <v>300000</v>
      </c>
      <c r="P42" s="48">
        <f t="shared" ref="P42:P52" si="37">I42*$N42</f>
        <v>0</v>
      </c>
      <c r="Q42" s="48">
        <f t="shared" ref="Q42:Q52" si="38">J42*$N42</f>
        <v>0</v>
      </c>
      <c r="R42" s="48">
        <f t="shared" ref="R42:R52" si="39">K42*$N42</f>
        <v>0</v>
      </c>
      <c r="S42" s="48">
        <f t="shared" ref="S42:S52" si="40">L42*$N42</f>
        <v>0</v>
      </c>
      <c r="T42" s="140">
        <f t="shared" ref="T42:T52" si="41">SUM(O42:S42)</f>
        <v>300000</v>
      </c>
      <c r="U42" s="155">
        <f t="shared" si="34"/>
        <v>0</v>
      </c>
      <c r="V42" s="148">
        <f t="shared" si="34"/>
        <v>0</v>
      </c>
      <c r="W42" s="148">
        <f t="shared" si="34"/>
        <v>300000</v>
      </c>
      <c r="X42" s="156">
        <f t="shared" si="34"/>
        <v>0</v>
      </c>
    </row>
    <row r="43" spans="2:24" x14ac:dyDescent="0.35">
      <c r="B43" s="170" t="s">
        <v>165</v>
      </c>
      <c r="C43" s="284"/>
      <c r="D43" s="65" t="s">
        <v>35</v>
      </c>
      <c r="E43" s="76" t="s">
        <v>265</v>
      </c>
      <c r="F43" s="66">
        <v>10</v>
      </c>
      <c r="G43" s="65" t="s">
        <v>27</v>
      </c>
      <c r="H43" s="51">
        <v>1</v>
      </c>
      <c r="I43" s="51"/>
      <c r="J43" s="51"/>
      <c r="K43" s="51"/>
      <c r="L43" s="51"/>
      <c r="M43" s="56">
        <f t="shared" si="35"/>
        <v>1</v>
      </c>
      <c r="N43" s="63">
        <v>200000</v>
      </c>
      <c r="O43" s="48">
        <f t="shared" si="36"/>
        <v>200000</v>
      </c>
      <c r="P43" s="48">
        <f t="shared" si="37"/>
        <v>0</v>
      </c>
      <c r="Q43" s="48">
        <f t="shared" si="38"/>
        <v>0</v>
      </c>
      <c r="R43" s="48">
        <f t="shared" si="39"/>
        <v>0</v>
      </c>
      <c r="S43" s="48">
        <f t="shared" si="40"/>
        <v>0</v>
      </c>
      <c r="T43" s="140">
        <f t="shared" si="41"/>
        <v>200000</v>
      </c>
      <c r="U43" s="155">
        <f t="shared" si="34"/>
        <v>0</v>
      </c>
      <c r="V43" s="148">
        <f t="shared" si="34"/>
        <v>0</v>
      </c>
      <c r="W43" s="148">
        <f t="shared" si="34"/>
        <v>200000</v>
      </c>
      <c r="X43" s="156">
        <f t="shared" si="34"/>
        <v>0</v>
      </c>
    </row>
    <row r="44" spans="2:24" x14ac:dyDescent="0.35">
      <c r="B44" s="170" t="s">
        <v>165</v>
      </c>
      <c r="C44" s="284"/>
      <c r="D44" s="65" t="s">
        <v>29</v>
      </c>
      <c r="E44" s="76" t="s">
        <v>265</v>
      </c>
      <c r="F44" s="66">
        <v>10</v>
      </c>
      <c r="G44" s="65" t="s">
        <v>27</v>
      </c>
      <c r="H44" s="51"/>
      <c r="I44" s="51">
        <v>1</v>
      </c>
      <c r="J44" s="51"/>
      <c r="K44" s="51"/>
      <c r="L44" s="51"/>
      <c r="M44" s="56">
        <f t="shared" si="35"/>
        <v>1</v>
      </c>
      <c r="N44" s="63">
        <v>300000</v>
      </c>
      <c r="O44" s="48">
        <f t="shared" si="36"/>
        <v>0</v>
      </c>
      <c r="P44" s="48">
        <f t="shared" si="37"/>
        <v>300000</v>
      </c>
      <c r="Q44" s="48">
        <f t="shared" si="38"/>
        <v>0</v>
      </c>
      <c r="R44" s="48">
        <f t="shared" si="39"/>
        <v>0</v>
      </c>
      <c r="S44" s="48">
        <f t="shared" si="40"/>
        <v>0</v>
      </c>
      <c r="T44" s="140">
        <f t="shared" si="41"/>
        <v>300000</v>
      </c>
      <c r="U44" s="155">
        <f t="shared" si="34"/>
        <v>0</v>
      </c>
      <c r="V44" s="148">
        <f t="shared" si="34"/>
        <v>0</v>
      </c>
      <c r="W44" s="148">
        <f t="shared" si="34"/>
        <v>300000</v>
      </c>
      <c r="X44" s="156">
        <f t="shared" si="34"/>
        <v>0</v>
      </c>
    </row>
    <row r="45" spans="2:24" x14ac:dyDescent="0.35">
      <c r="B45" s="170" t="s">
        <v>165</v>
      </c>
      <c r="C45" s="284"/>
      <c r="D45" s="65" t="s">
        <v>58</v>
      </c>
      <c r="E45" s="76" t="s">
        <v>265</v>
      </c>
      <c r="F45" s="66">
        <v>10</v>
      </c>
      <c r="G45" s="65" t="s">
        <v>28</v>
      </c>
      <c r="H45" s="51"/>
      <c r="I45" s="51">
        <v>2</v>
      </c>
      <c r="J45" s="51"/>
      <c r="K45" s="51"/>
      <c r="L45" s="51"/>
      <c r="M45" s="56">
        <f t="shared" si="35"/>
        <v>2</v>
      </c>
      <c r="N45" s="63">
        <v>150000</v>
      </c>
      <c r="O45" s="48">
        <f t="shared" si="36"/>
        <v>0</v>
      </c>
      <c r="P45" s="48">
        <f t="shared" si="37"/>
        <v>300000</v>
      </c>
      <c r="Q45" s="48">
        <f t="shared" si="38"/>
        <v>0</v>
      </c>
      <c r="R45" s="48">
        <f t="shared" si="39"/>
        <v>0</v>
      </c>
      <c r="S45" s="48">
        <f t="shared" si="40"/>
        <v>0</v>
      </c>
      <c r="T45" s="140">
        <f t="shared" si="41"/>
        <v>300000</v>
      </c>
      <c r="U45" s="155">
        <f t="shared" si="34"/>
        <v>0</v>
      </c>
      <c r="V45" s="148">
        <f t="shared" si="34"/>
        <v>0</v>
      </c>
      <c r="W45" s="148">
        <f t="shared" si="34"/>
        <v>300000</v>
      </c>
      <c r="X45" s="156">
        <f t="shared" si="34"/>
        <v>0</v>
      </c>
    </row>
    <row r="46" spans="2:24" x14ac:dyDescent="0.35">
      <c r="B46" s="170" t="s">
        <v>165</v>
      </c>
      <c r="C46" s="284"/>
      <c r="D46" s="65" t="s">
        <v>30</v>
      </c>
      <c r="E46" s="76" t="s">
        <v>265</v>
      </c>
      <c r="F46" s="66"/>
      <c r="G46" s="65" t="s">
        <v>28</v>
      </c>
      <c r="H46" s="51"/>
      <c r="I46" s="51"/>
      <c r="J46" s="51"/>
      <c r="K46" s="51"/>
      <c r="L46" s="51"/>
      <c r="M46" s="56">
        <f t="shared" si="35"/>
        <v>0</v>
      </c>
      <c r="N46" s="63">
        <v>360000</v>
      </c>
      <c r="O46" s="48">
        <f t="shared" si="36"/>
        <v>0</v>
      </c>
      <c r="P46" s="48">
        <f t="shared" si="37"/>
        <v>0</v>
      </c>
      <c r="Q46" s="48">
        <f t="shared" si="38"/>
        <v>0</v>
      </c>
      <c r="R46" s="48">
        <f t="shared" si="39"/>
        <v>0</v>
      </c>
      <c r="S46" s="48">
        <f t="shared" si="40"/>
        <v>0</v>
      </c>
      <c r="T46" s="140">
        <f t="shared" si="41"/>
        <v>0</v>
      </c>
      <c r="U46" s="155">
        <f t="shared" si="34"/>
        <v>0</v>
      </c>
      <c r="V46" s="148">
        <f t="shared" si="34"/>
        <v>0</v>
      </c>
      <c r="W46" s="148">
        <f t="shared" si="34"/>
        <v>0</v>
      </c>
      <c r="X46" s="156">
        <f t="shared" si="34"/>
        <v>0</v>
      </c>
    </row>
    <row r="47" spans="2:24" x14ac:dyDescent="0.35">
      <c r="B47" s="170" t="s">
        <v>165</v>
      </c>
      <c r="C47" s="284"/>
      <c r="D47" s="65" t="s">
        <v>3</v>
      </c>
      <c r="E47" s="76" t="s">
        <v>265</v>
      </c>
      <c r="F47" s="66">
        <v>10</v>
      </c>
      <c r="G47" s="65" t="s">
        <v>28</v>
      </c>
      <c r="H47" s="51"/>
      <c r="I47" s="51">
        <v>1</v>
      </c>
      <c r="J47" s="51"/>
      <c r="K47" s="51"/>
      <c r="L47" s="51"/>
      <c r="M47" s="56">
        <f t="shared" si="35"/>
        <v>1</v>
      </c>
      <c r="N47" s="63">
        <v>300000</v>
      </c>
      <c r="O47" s="48">
        <f t="shared" si="36"/>
        <v>0</v>
      </c>
      <c r="P47" s="48">
        <f t="shared" si="37"/>
        <v>300000</v>
      </c>
      <c r="Q47" s="48">
        <f t="shared" si="38"/>
        <v>0</v>
      </c>
      <c r="R47" s="48">
        <f t="shared" si="39"/>
        <v>0</v>
      </c>
      <c r="S47" s="48">
        <f t="shared" si="40"/>
        <v>0</v>
      </c>
      <c r="T47" s="140">
        <f t="shared" si="41"/>
        <v>300000</v>
      </c>
      <c r="U47" s="155">
        <f t="shared" si="34"/>
        <v>0</v>
      </c>
      <c r="V47" s="148">
        <f t="shared" si="34"/>
        <v>0</v>
      </c>
      <c r="W47" s="148">
        <f t="shared" si="34"/>
        <v>300000</v>
      </c>
      <c r="X47" s="156">
        <f t="shared" si="34"/>
        <v>0</v>
      </c>
    </row>
    <row r="48" spans="2:24" x14ac:dyDescent="0.35">
      <c r="B48" s="170" t="s">
        <v>165</v>
      </c>
      <c r="C48" s="284"/>
      <c r="D48" s="65" t="s">
        <v>31</v>
      </c>
      <c r="E48" s="76" t="s">
        <v>265</v>
      </c>
      <c r="F48" s="66">
        <v>10</v>
      </c>
      <c r="G48" s="65" t="s">
        <v>28</v>
      </c>
      <c r="H48" s="51"/>
      <c r="I48" s="51">
        <v>0.75</v>
      </c>
      <c r="J48" s="51">
        <v>0.25</v>
      </c>
      <c r="K48" s="51"/>
      <c r="L48" s="51"/>
      <c r="M48" s="56">
        <f t="shared" si="35"/>
        <v>1</v>
      </c>
      <c r="N48" s="63">
        <v>500000</v>
      </c>
      <c r="O48" s="48">
        <f t="shared" si="36"/>
        <v>0</v>
      </c>
      <c r="P48" s="48">
        <f t="shared" si="37"/>
        <v>375000</v>
      </c>
      <c r="Q48" s="48">
        <f t="shared" si="38"/>
        <v>125000</v>
      </c>
      <c r="R48" s="48">
        <f t="shared" si="39"/>
        <v>0</v>
      </c>
      <c r="S48" s="48">
        <f t="shared" si="40"/>
        <v>0</v>
      </c>
      <c r="T48" s="140">
        <f t="shared" si="41"/>
        <v>500000</v>
      </c>
      <c r="U48" s="155">
        <f t="shared" si="34"/>
        <v>0</v>
      </c>
      <c r="V48" s="148">
        <f t="shared" si="34"/>
        <v>0</v>
      </c>
      <c r="W48" s="148">
        <f t="shared" si="34"/>
        <v>500000</v>
      </c>
      <c r="X48" s="156">
        <f t="shared" si="34"/>
        <v>0</v>
      </c>
    </row>
    <row r="49" spans="2:24" x14ac:dyDescent="0.35">
      <c r="B49" s="170" t="s">
        <v>165</v>
      </c>
      <c r="C49" s="284"/>
      <c r="D49" s="65" t="s">
        <v>15</v>
      </c>
      <c r="E49" s="76" t="s">
        <v>265</v>
      </c>
      <c r="F49" s="66"/>
      <c r="G49" s="65" t="s">
        <v>27</v>
      </c>
      <c r="H49" s="51"/>
      <c r="I49" s="51"/>
      <c r="J49" s="51"/>
      <c r="K49" s="51"/>
      <c r="L49" s="51"/>
      <c r="M49" s="56">
        <f t="shared" si="35"/>
        <v>0</v>
      </c>
      <c r="N49" s="63">
        <v>72000</v>
      </c>
      <c r="O49" s="48">
        <f t="shared" si="36"/>
        <v>0</v>
      </c>
      <c r="P49" s="48">
        <f t="shared" si="37"/>
        <v>0</v>
      </c>
      <c r="Q49" s="48">
        <f t="shared" si="38"/>
        <v>0</v>
      </c>
      <c r="R49" s="48">
        <f t="shared" si="39"/>
        <v>0</v>
      </c>
      <c r="S49" s="48">
        <f t="shared" si="40"/>
        <v>0</v>
      </c>
      <c r="T49" s="140">
        <f t="shared" si="41"/>
        <v>0</v>
      </c>
      <c r="U49" s="155">
        <f t="shared" si="34"/>
        <v>0</v>
      </c>
      <c r="V49" s="148">
        <f t="shared" si="34"/>
        <v>0</v>
      </c>
      <c r="W49" s="148">
        <f t="shared" si="34"/>
        <v>0</v>
      </c>
      <c r="X49" s="156">
        <f t="shared" si="34"/>
        <v>0</v>
      </c>
    </row>
    <row r="50" spans="2:24" x14ac:dyDescent="0.35">
      <c r="B50" s="170" t="s">
        <v>165</v>
      </c>
      <c r="C50" s="284"/>
      <c r="D50" s="65" t="s">
        <v>21</v>
      </c>
      <c r="E50" s="76" t="s">
        <v>265</v>
      </c>
      <c r="F50" s="66">
        <v>10</v>
      </c>
      <c r="G50" s="65" t="s">
        <v>28</v>
      </c>
      <c r="H50" s="51"/>
      <c r="I50" s="51">
        <v>1</v>
      </c>
      <c r="J50" s="51"/>
      <c r="K50" s="51"/>
      <c r="L50" s="51"/>
      <c r="M50" s="56">
        <f t="shared" si="35"/>
        <v>1</v>
      </c>
      <c r="N50" s="63">
        <v>400000</v>
      </c>
      <c r="O50" s="48">
        <f t="shared" si="36"/>
        <v>0</v>
      </c>
      <c r="P50" s="48">
        <f t="shared" si="37"/>
        <v>400000</v>
      </c>
      <c r="Q50" s="48">
        <f t="shared" si="38"/>
        <v>0</v>
      </c>
      <c r="R50" s="48">
        <f t="shared" si="39"/>
        <v>0</v>
      </c>
      <c r="S50" s="48">
        <f t="shared" si="40"/>
        <v>0</v>
      </c>
      <c r="T50" s="140">
        <f t="shared" si="41"/>
        <v>400000</v>
      </c>
      <c r="U50" s="155">
        <f t="shared" si="34"/>
        <v>0</v>
      </c>
      <c r="V50" s="148">
        <f t="shared" si="34"/>
        <v>0</v>
      </c>
      <c r="W50" s="148">
        <f t="shared" si="34"/>
        <v>400000</v>
      </c>
      <c r="X50" s="156">
        <f t="shared" si="34"/>
        <v>0</v>
      </c>
    </row>
    <row r="51" spans="2:24" ht="29" x14ac:dyDescent="0.35">
      <c r="B51" s="1" t="s">
        <v>170</v>
      </c>
      <c r="C51" s="284"/>
      <c r="D51" s="65" t="s">
        <v>34</v>
      </c>
      <c r="E51" s="76" t="s">
        <v>265</v>
      </c>
      <c r="F51" s="66">
        <v>10</v>
      </c>
      <c r="G51" s="65" t="s">
        <v>28</v>
      </c>
      <c r="H51" s="51"/>
      <c r="I51" s="51">
        <v>1</v>
      </c>
      <c r="J51" s="51"/>
      <c r="K51" s="51"/>
      <c r="L51" s="51"/>
      <c r="M51" s="56">
        <f t="shared" si="35"/>
        <v>1</v>
      </c>
      <c r="N51" s="63">
        <v>300000</v>
      </c>
      <c r="O51" s="48">
        <f t="shared" si="36"/>
        <v>0</v>
      </c>
      <c r="P51" s="48">
        <f t="shared" si="37"/>
        <v>300000</v>
      </c>
      <c r="Q51" s="48">
        <f t="shared" si="38"/>
        <v>0</v>
      </c>
      <c r="R51" s="48">
        <f t="shared" si="39"/>
        <v>0</v>
      </c>
      <c r="S51" s="48">
        <f t="shared" si="40"/>
        <v>0</v>
      </c>
      <c r="T51" s="140">
        <f t="shared" si="41"/>
        <v>300000</v>
      </c>
      <c r="U51" s="155">
        <f t="shared" si="34"/>
        <v>0</v>
      </c>
      <c r="V51" s="148">
        <f t="shared" si="34"/>
        <v>0</v>
      </c>
      <c r="W51" s="148">
        <f t="shared" si="34"/>
        <v>300000</v>
      </c>
      <c r="X51" s="156">
        <f t="shared" si="34"/>
        <v>0</v>
      </c>
    </row>
    <row r="52" spans="2:24" ht="33.5" customHeight="1" thickBot="1" x14ac:dyDescent="0.4">
      <c r="B52" s="170" t="s">
        <v>169</v>
      </c>
      <c r="C52" s="285"/>
      <c r="D52" s="67" t="s">
        <v>33</v>
      </c>
      <c r="E52" s="76" t="s">
        <v>265</v>
      </c>
      <c r="F52" s="68"/>
      <c r="G52" s="67" t="s">
        <v>28</v>
      </c>
      <c r="H52" s="52"/>
      <c r="I52" s="52"/>
      <c r="J52" s="52"/>
      <c r="K52" s="52"/>
      <c r="L52" s="52"/>
      <c r="M52" s="57">
        <f t="shared" si="35"/>
        <v>0</v>
      </c>
      <c r="N52" s="64">
        <v>60000</v>
      </c>
      <c r="O52" s="49">
        <f t="shared" si="36"/>
        <v>0</v>
      </c>
      <c r="P52" s="49">
        <f t="shared" si="37"/>
        <v>0</v>
      </c>
      <c r="Q52" s="49">
        <f t="shared" si="38"/>
        <v>0</v>
      </c>
      <c r="R52" s="49">
        <f t="shared" si="39"/>
        <v>0</v>
      </c>
      <c r="S52" s="49">
        <f t="shared" si="40"/>
        <v>0</v>
      </c>
      <c r="T52" s="141">
        <f t="shared" si="41"/>
        <v>0</v>
      </c>
      <c r="U52" s="157">
        <f t="shared" si="34"/>
        <v>0</v>
      </c>
      <c r="V52" s="158">
        <f t="shared" si="34"/>
        <v>0</v>
      </c>
      <c r="W52" s="158">
        <f t="shared" si="34"/>
        <v>0</v>
      </c>
      <c r="X52" s="159">
        <f t="shared" si="34"/>
        <v>0</v>
      </c>
    </row>
    <row r="53" spans="2:24" ht="15" thickBot="1" x14ac:dyDescent="0.4">
      <c r="C53" s="9"/>
      <c r="D53" s="9"/>
      <c r="E53" s="9"/>
      <c r="F53" s="9"/>
      <c r="G53" s="9"/>
      <c r="H53" s="9"/>
      <c r="I53" s="9"/>
      <c r="J53" s="9"/>
      <c r="K53" s="9"/>
      <c r="L53" s="9"/>
      <c r="M53" s="9"/>
      <c r="N53" s="37"/>
      <c r="O53" s="37"/>
      <c r="P53" s="37"/>
      <c r="Q53" s="37"/>
      <c r="R53" s="37"/>
      <c r="S53" s="37"/>
      <c r="T53" s="37"/>
      <c r="U53" s="37"/>
      <c r="V53" s="37"/>
      <c r="W53" s="37"/>
      <c r="X53" s="37"/>
    </row>
    <row r="54" spans="2:24" s="45" customFormat="1" ht="15" thickBot="1" x14ac:dyDescent="0.4">
      <c r="C54" s="47"/>
      <c r="D54" s="46"/>
      <c r="E54" s="46"/>
      <c r="F54" s="46"/>
      <c r="G54" s="46"/>
      <c r="H54" s="46"/>
      <c r="I54" s="46"/>
      <c r="J54" s="46"/>
      <c r="K54" s="46"/>
      <c r="L54" s="87"/>
      <c r="M54" s="88"/>
      <c r="N54" s="89" t="s">
        <v>95</v>
      </c>
      <c r="O54" s="83">
        <f>SUM(O41:O52)</f>
        <v>800000</v>
      </c>
      <c r="P54" s="84">
        <f t="shared" ref="P54:R54" si="42">SUM(P41:P52)</f>
        <v>1975000</v>
      </c>
      <c r="Q54" s="84">
        <f t="shared" si="42"/>
        <v>125000</v>
      </c>
      <c r="R54" s="84">
        <f t="shared" si="42"/>
        <v>0</v>
      </c>
      <c r="S54" s="85">
        <f t="shared" ref="S54" si="43">SUM(S41:S52)</f>
        <v>0</v>
      </c>
      <c r="T54" s="61">
        <f>SUM(O54:S54)</f>
        <v>2900000</v>
      </c>
      <c r="U54" s="147">
        <f>SUM(U41:U52)</f>
        <v>0</v>
      </c>
      <c r="V54" s="149">
        <f t="shared" ref="V54:X54" si="44">SUM(V41:V52)</f>
        <v>0</v>
      </c>
      <c r="W54" s="149">
        <f t="shared" si="44"/>
        <v>2900000</v>
      </c>
      <c r="X54" s="150">
        <f t="shared" si="44"/>
        <v>0</v>
      </c>
    </row>
    <row r="55" spans="2:24" x14ac:dyDescent="0.35">
      <c r="C55" s="9"/>
      <c r="D55" s="9"/>
      <c r="E55" s="9"/>
      <c r="F55" s="9"/>
      <c r="G55" s="9"/>
      <c r="H55" s="9"/>
      <c r="I55" s="9"/>
      <c r="J55" s="9"/>
      <c r="K55" s="9"/>
      <c r="L55" s="9"/>
      <c r="M55" s="9"/>
      <c r="N55" s="9"/>
      <c r="O55" s="3"/>
      <c r="P55" s="3"/>
      <c r="Q55" s="3"/>
      <c r="R55" s="3"/>
      <c r="S55" s="3"/>
      <c r="T55" s="12"/>
      <c r="U55" s="12"/>
      <c r="V55" s="12"/>
      <c r="W55" s="12"/>
      <c r="X55" s="12"/>
    </row>
    <row r="56" spans="2:24" x14ac:dyDescent="0.35">
      <c r="C56" s="9"/>
      <c r="D56" s="9"/>
      <c r="E56" s="9"/>
      <c r="F56" s="9"/>
      <c r="G56" s="9"/>
      <c r="H56" s="9"/>
      <c r="I56" s="9"/>
      <c r="J56" s="9"/>
      <c r="K56" s="9"/>
      <c r="L56" s="9"/>
      <c r="M56" s="9"/>
      <c r="N56" s="9"/>
      <c r="O56" s="3"/>
      <c r="P56" s="3"/>
      <c r="Q56" s="3"/>
      <c r="R56" s="3"/>
      <c r="S56" s="3"/>
      <c r="T56" s="12"/>
      <c r="U56" s="12"/>
      <c r="V56" s="12"/>
      <c r="W56" s="12"/>
      <c r="X56" s="12"/>
    </row>
    <row r="57" spans="2:24" ht="15" thickBot="1" x14ac:dyDescent="0.4">
      <c r="C57" s="16"/>
      <c r="D57" s="9"/>
      <c r="E57" s="9"/>
      <c r="F57" s="9"/>
      <c r="G57" s="9"/>
      <c r="H57" s="9"/>
      <c r="I57" s="9"/>
      <c r="J57" s="5"/>
      <c r="K57" s="5"/>
      <c r="L57" s="5"/>
      <c r="M57" s="5"/>
      <c r="N57" s="4"/>
      <c r="O57" s="41"/>
      <c r="P57" s="41"/>
      <c r="Q57" s="41"/>
      <c r="R57" s="41"/>
      <c r="S57" s="41"/>
      <c r="T57" s="42"/>
      <c r="U57" s="42"/>
      <c r="V57" s="42"/>
      <c r="W57" s="42"/>
      <c r="X57" s="42"/>
    </row>
    <row r="58" spans="2:24" s="71" customFormat="1" ht="43.5" x14ac:dyDescent="0.35">
      <c r="C58" s="75" t="s">
        <v>92</v>
      </c>
      <c r="D58" s="74" t="s">
        <v>7</v>
      </c>
      <c r="E58" s="74" t="str">
        <f>E18</f>
        <v>Fin.
AFD, EU, GCF, GVNT</v>
      </c>
      <c r="F58" s="74" t="str">
        <f>F18</f>
        <v>Durée de vie (an)</v>
      </c>
      <c r="G58" s="74" t="s">
        <v>26</v>
      </c>
      <c r="H58" s="72">
        <v>2021</v>
      </c>
      <c r="I58" s="72">
        <v>2022</v>
      </c>
      <c r="J58" s="72">
        <v>2023</v>
      </c>
      <c r="K58" s="72">
        <v>2024</v>
      </c>
      <c r="L58" s="72">
        <v>2025</v>
      </c>
      <c r="M58" s="69" t="s">
        <v>36</v>
      </c>
      <c r="N58" s="62" t="s">
        <v>37</v>
      </c>
      <c r="O58" s="73" t="s">
        <v>9</v>
      </c>
      <c r="P58" s="73" t="s">
        <v>10</v>
      </c>
      <c r="Q58" s="73" t="s">
        <v>11</v>
      </c>
      <c r="R58" s="73" t="s">
        <v>12</v>
      </c>
      <c r="S58" s="120" t="s">
        <v>39</v>
      </c>
      <c r="T58" s="151" t="s">
        <v>22</v>
      </c>
      <c r="U58" s="160"/>
      <c r="V58" s="161"/>
      <c r="W58" s="161"/>
      <c r="X58" s="162"/>
    </row>
    <row r="59" spans="2:24" x14ac:dyDescent="0.35">
      <c r="B59" s="170" t="s">
        <v>166</v>
      </c>
      <c r="C59" s="284"/>
      <c r="D59" s="76" t="s">
        <v>42</v>
      </c>
      <c r="E59" s="76" t="s">
        <v>264</v>
      </c>
      <c r="F59" s="77"/>
      <c r="G59" s="76" t="s">
        <v>27</v>
      </c>
      <c r="H59" s="78"/>
      <c r="I59" s="78">
        <v>5</v>
      </c>
      <c r="J59" s="78">
        <v>5</v>
      </c>
      <c r="K59" s="78"/>
      <c r="L59" s="78"/>
      <c r="M59" s="79">
        <f t="shared" ref="M59:M64" si="45">SUM(H59:L59)</f>
        <v>10</v>
      </c>
      <c r="N59" s="80">
        <v>15000</v>
      </c>
      <c r="O59" s="81">
        <f t="shared" ref="O59" si="46">H59*$N59</f>
        <v>0</v>
      </c>
      <c r="P59" s="81">
        <f t="shared" ref="P59" si="47">I59*$N59</f>
        <v>75000</v>
      </c>
      <c r="Q59" s="81">
        <f t="shared" ref="Q59" si="48">J59*$N59</f>
        <v>75000</v>
      </c>
      <c r="R59" s="81">
        <f t="shared" ref="R59" si="49">K59*$N59</f>
        <v>0</v>
      </c>
      <c r="S59" s="191">
        <f t="shared" ref="S59" si="50">L59*$N59</f>
        <v>0</v>
      </c>
      <c r="T59" s="143">
        <f t="shared" ref="T59" si="51">SUM(O59:S59)</f>
        <v>150000</v>
      </c>
      <c r="U59" s="155">
        <f t="shared" ref="U59:X65" si="52">IF($E59=U$2,$T59,0)</f>
        <v>0</v>
      </c>
      <c r="V59" s="148">
        <f t="shared" si="52"/>
        <v>150000</v>
      </c>
      <c r="W59" s="148">
        <f t="shared" si="52"/>
        <v>0</v>
      </c>
      <c r="X59" s="156">
        <f t="shared" si="52"/>
        <v>0</v>
      </c>
    </row>
    <row r="60" spans="2:24" ht="23.5" customHeight="1" x14ac:dyDescent="0.35">
      <c r="B60" s="170" t="s">
        <v>166</v>
      </c>
      <c r="C60" s="284"/>
      <c r="D60" s="188" t="s">
        <v>45</v>
      </c>
      <c r="E60" s="76" t="s">
        <v>264</v>
      </c>
      <c r="F60" s="66"/>
      <c r="G60" s="65" t="s">
        <v>32</v>
      </c>
      <c r="H60" s="51">
        <v>1</v>
      </c>
      <c r="I60" s="51">
        <v>1</v>
      </c>
      <c r="J60" s="51"/>
      <c r="K60" s="51"/>
      <c r="L60" s="51"/>
      <c r="M60" s="56">
        <f t="shared" si="45"/>
        <v>2</v>
      </c>
      <c r="N60" s="63">
        <v>300000</v>
      </c>
      <c r="O60" s="48">
        <f>H60*$N60</f>
        <v>300000</v>
      </c>
      <c r="P60" s="48">
        <f>I60*$N60</f>
        <v>300000</v>
      </c>
      <c r="Q60" s="48">
        <f>J60*$N60</f>
        <v>0</v>
      </c>
      <c r="R60" s="48">
        <f>K60*$N60</f>
        <v>0</v>
      </c>
      <c r="S60" s="121">
        <f>L60*$N60</f>
        <v>0</v>
      </c>
      <c r="T60" s="59">
        <f>SUM(O60:S60)</f>
        <v>600000</v>
      </c>
      <c r="U60" s="155">
        <f t="shared" si="52"/>
        <v>0</v>
      </c>
      <c r="V60" s="148">
        <f t="shared" si="52"/>
        <v>600000</v>
      </c>
      <c r="W60" s="148">
        <f t="shared" si="52"/>
        <v>0</v>
      </c>
      <c r="X60" s="156">
        <f t="shared" si="52"/>
        <v>0</v>
      </c>
    </row>
    <row r="61" spans="2:24" x14ac:dyDescent="0.35">
      <c r="B61" s="170" t="s">
        <v>166</v>
      </c>
      <c r="C61" s="284"/>
      <c r="D61" s="76" t="s">
        <v>43</v>
      </c>
      <c r="E61" s="76" t="s">
        <v>264</v>
      </c>
      <c r="F61" s="77"/>
      <c r="G61" s="76" t="s">
        <v>27</v>
      </c>
      <c r="H61" s="78"/>
      <c r="I61" s="78"/>
      <c r="J61" s="78"/>
      <c r="K61" s="78"/>
      <c r="L61" s="78"/>
      <c r="M61" s="79">
        <f t="shared" si="45"/>
        <v>0</v>
      </c>
      <c r="N61" s="80">
        <v>5000</v>
      </c>
      <c r="O61" s="81">
        <f t="shared" ref="O61:O65" si="53">H61*$N61</f>
        <v>0</v>
      </c>
      <c r="P61" s="81">
        <f t="shared" ref="P61:P65" si="54">I61*$N61</f>
        <v>0</v>
      </c>
      <c r="Q61" s="81">
        <f t="shared" ref="Q61:Q65" si="55">J61*$N61</f>
        <v>0</v>
      </c>
      <c r="R61" s="81">
        <f t="shared" ref="R61:R65" si="56">K61*$N61</f>
        <v>0</v>
      </c>
      <c r="S61" s="191">
        <f t="shared" ref="S61:S65" si="57">L61*$N61</f>
        <v>0</v>
      </c>
      <c r="T61" s="143">
        <f t="shared" ref="T61:T65" si="58">SUM(O61:S61)</f>
        <v>0</v>
      </c>
      <c r="U61" s="155">
        <f t="shared" si="52"/>
        <v>0</v>
      </c>
      <c r="V61" s="148">
        <f t="shared" si="52"/>
        <v>0</v>
      </c>
      <c r="W61" s="148">
        <f t="shared" si="52"/>
        <v>0</v>
      </c>
      <c r="X61" s="156">
        <f t="shared" si="52"/>
        <v>0</v>
      </c>
    </row>
    <row r="62" spans="2:24" x14ac:dyDescent="0.35">
      <c r="B62" s="170" t="s">
        <v>166</v>
      </c>
      <c r="C62" s="284"/>
      <c r="D62" s="189" t="s">
        <v>44</v>
      </c>
      <c r="E62" s="76" t="s">
        <v>264</v>
      </c>
      <c r="F62" s="77"/>
      <c r="G62" s="76" t="s">
        <v>27</v>
      </c>
      <c r="H62" s="78">
        <v>2</v>
      </c>
      <c r="I62" s="78"/>
      <c r="J62" s="78"/>
      <c r="K62" s="78"/>
      <c r="L62" s="78"/>
      <c r="M62" s="79">
        <f t="shared" si="45"/>
        <v>2</v>
      </c>
      <c r="N62" s="80">
        <v>50000</v>
      </c>
      <c r="O62" s="81">
        <f t="shared" si="53"/>
        <v>100000</v>
      </c>
      <c r="P62" s="81">
        <f t="shared" si="54"/>
        <v>0</v>
      </c>
      <c r="Q62" s="81">
        <f t="shared" si="55"/>
        <v>0</v>
      </c>
      <c r="R62" s="81">
        <f t="shared" si="56"/>
        <v>0</v>
      </c>
      <c r="S62" s="191">
        <f t="shared" si="57"/>
        <v>0</v>
      </c>
      <c r="T62" s="143">
        <f t="shared" si="58"/>
        <v>100000</v>
      </c>
      <c r="U62" s="155">
        <f t="shared" si="52"/>
        <v>0</v>
      </c>
      <c r="V62" s="148">
        <f t="shared" si="52"/>
        <v>100000</v>
      </c>
      <c r="W62" s="148">
        <f t="shared" si="52"/>
        <v>0</v>
      </c>
      <c r="X62" s="156">
        <f t="shared" si="52"/>
        <v>0</v>
      </c>
    </row>
    <row r="63" spans="2:24" ht="58" x14ac:dyDescent="0.35">
      <c r="B63" s="170" t="s">
        <v>158</v>
      </c>
      <c r="C63" s="284"/>
      <c r="D63" s="189" t="s">
        <v>239</v>
      </c>
      <c r="E63" s="76" t="s">
        <v>264</v>
      </c>
      <c r="F63" s="77"/>
      <c r="G63" s="76" t="s">
        <v>32</v>
      </c>
      <c r="H63" s="78"/>
      <c r="I63" s="78">
        <v>1</v>
      </c>
      <c r="J63" s="78"/>
      <c r="K63" s="78"/>
      <c r="L63" s="78"/>
      <c r="M63" s="79">
        <f t="shared" si="45"/>
        <v>1</v>
      </c>
      <c r="N63" s="80">
        <v>300000</v>
      </c>
      <c r="O63" s="81">
        <f t="shared" si="53"/>
        <v>0</v>
      </c>
      <c r="P63" s="81">
        <f t="shared" si="54"/>
        <v>300000</v>
      </c>
      <c r="Q63" s="81">
        <f t="shared" si="55"/>
        <v>0</v>
      </c>
      <c r="R63" s="81">
        <f t="shared" si="56"/>
        <v>0</v>
      </c>
      <c r="S63" s="191">
        <f t="shared" si="57"/>
        <v>0</v>
      </c>
      <c r="T63" s="143">
        <f t="shared" si="58"/>
        <v>300000</v>
      </c>
      <c r="U63" s="155">
        <f t="shared" si="52"/>
        <v>0</v>
      </c>
      <c r="V63" s="148">
        <f t="shared" si="52"/>
        <v>300000</v>
      </c>
      <c r="W63" s="148">
        <f t="shared" si="52"/>
        <v>0</v>
      </c>
      <c r="X63" s="156">
        <f t="shared" si="52"/>
        <v>0</v>
      </c>
    </row>
    <row r="64" spans="2:24" ht="43.5" x14ac:dyDescent="0.35">
      <c r="B64" s="170" t="s">
        <v>167</v>
      </c>
      <c r="C64" s="284"/>
      <c r="D64" s="76" t="s">
        <v>46</v>
      </c>
      <c r="E64" s="76" t="s">
        <v>264</v>
      </c>
      <c r="F64" s="77"/>
      <c r="G64" s="76" t="s">
        <v>32</v>
      </c>
      <c r="H64" s="78"/>
      <c r="I64" s="78">
        <v>1</v>
      </c>
      <c r="J64" s="78"/>
      <c r="K64" s="78"/>
      <c r="L64" s="78"/>
      <c r="M64" s="79">
        <f t="shared" si="45"/>
        <v>1</v>
      </c>
      <c r="N64" s="80">
        <v>300000</v>
      </c>
      <c r="O64" s="81">
        <f t="shared" si="53"/>
        <v>0</v>
      </c>
      <c r="P64" s="81">
        <f t="shared" si="54"/>
        <v>300000</v>
      </c>
      <c r="Q64" s="81">
        <f t="shared" si="55"/>
        <v>0</v>
      </c>
      <c r="R64" s="81">
        <f t="shared" si="56"/>
        <v>0</v>
      </c>
      <c r="S64" s="191">
        <f t="shared" si="57"/>
        <v>0</v>
      </c>
      <c r="T64" s="143">
        <f t="shared" si="58"/>
        <v>300000</v>
      </c>
      <c r="U64" s="155">
        <f t="shared" si="52"/>
        <v>0</v>
      </c>
      <c r="V64" s="148">
        <f t="shared" si="52"/>
        <v>300000</v>
      </c>
      <c r="W64" s="148">
        <f t="shared" si="52"/>
        <v>0</v>
      </c>
      <c r="X64" s="156">
        <f t="shared" si="52"/>
        <v>0</v>
      </c>
    </row>
    <row r="65" spans="2:24" ht="58.5" thickBot="1" x14ac:dyDescent="0.4">
      <c r="B65" s="170" t="s">
        <v>174</v>
      </c>
      <c r="C65" s="285"/>
      <c r="D65" s="67" t="s">
        <v>47</v>
      </c>
      <c r="E65" s="192" t="s">
        <v>264</v>
      </c>
      <c r="F65" s="68"/>
      <c r="G65" s="67" t="s">
        <v>32</v>
      </c>
      <c r="H65" s="52"/>
      <c r="I65" s="52"/>
      <c r="J65" s="52">
        <v>1</v>
      </c>
      <c r="K65" s="52"/>
      <c r="L65" s="52"/>
      <c r="M65" s="57">
        <f>SUM(H65:L65)</f>
        <v>1</v>
      </c>
      <c r="N65" s="64">
        <v>300000</v>
      </c>
      <c r="O65" s="49">
        <f t="shared" si="53"/>
        <v>0</v>
      </c>
      <c r="P65" s="49">
        <f t="shared" si="54"/>
        <v>0</v>
      </c>
      <c r="Q65" s="49">
        <f t="shared" si="55"/>
        <v>300000</v>
      </c>
      <c r="R65" s="49">
        <f t="shared" si="56"/>
        <v>0</v>
      </c>
      <c r="S65" s="122">
        <f t="shared" si="57"/>
        <v>0</v>
      </c>
      <c r="T65" s="141">
        <f t="shared" si="58"/>
        <v>300000</v>
      </c>
      <c r="U65" s="157">
        <f t="shared" si="52"/>
        <v>0</v>
      </c>
      <c r="V65" s="158">
        <f t="shared" si="52"/>
        <v>300000</v>
      </c>
      <c r="W65" s="158">
        <f t="shared" si="52"/>
        <v>0</v>
      </c>
      <c r="X65" s="159">
        <f t="shared" si="52"/>
        <v>0</v>
      </c>
    </row>
    <row r="66" spans="2:24" ht="15" thickBot="1" x14ac:dyDescent="0.4">
      <c r="C66" s="16"/>
      <c r="D66" s="9"/>
      <c r="E66" s="9"/>
      <c r="F66" s="9"/>
      <c r="G66" s="9"/>
      <c r="H66" s="9"/>
      <c r="I66" s="9"/>
      <c r="J66" s="5"/>
      <c r="K66" s="5"/>
      <c r="L66" s="5"/>
      <c r="M66" s="5"/>
      <c r="N66" s="4"/>
      <c r="O66" s="39"/>
      <c r="P66" s="39"/>
      <c r="Q66" s="40"/>
      <c r="R66" s="40"/>
      <c r="S66" s="40"/>
      <c r="T66" s="41"/>
      <c r="U66" s="41"/>
      <c r="V66" s="41"/>
      <c r="W66" s="41"/>
      <c r="X66" s="41"/>
    </row>
    <row r="67" spans="2:24" s="45" customFormat="1" ht="15" thickBot="1" x14ac:dyDescent="0.4">
      <c r="C67" s="47"/>
      <c r="D67" s="46"/>
      <c r="E67" s="46"/>
      <c r="F67" s="46"/>
      <c r="G67" s="46"/>
      <c r="H67" s="46"/>
      <c r="I67" s="46"/>
      <c r="J67" s="46"/>
      <c r="K67" s="46"/>
      <c r="L67" s="87"/>
      <c r="M67" s="88"/>
      <c r="N67" s="89" t="s">
        <v>97</v>
      </c>
      <c r="O67" s="83">
        <f>SUM(O59:O65)</f>
        <v>400000</v>
      </c>
      <c r="P67" s="84">
        <f>SUM(P59:P65)</f>
        <v>975000</v>
      </c>
      <c r="Q67" s="84">
        <f>SUM(Q59:Q65)</f>
        <v>375000</v>
      </c>
      <c r="R67" s="84">
        <f>SUM(R59:R65)</f>
        <v>0</v>
      </c>
      <c r="S67" s="85">
        <f>SUM(S59:S65)</f>
        <v>0</v>
      </c>
      <c r="T67" s="61">
        <f>SUM(O67:S67)</f>
        <v>1750000</v>
      </c>
      <c r="U67" s="147">
        <f t="shared" ref="U67:X67" si="59">SUM(U59:U65)</f>
        <v>0</v>
      </c>
      <c r="V67" s="149">
        <f t="shared" si="59"/>
        <v>1750000</v>
      </c>
      <c r="W67" s="149">
        <f t="shared" si="59"/>
        <v>0</v>
      </c>
      <c r="X67" s="150">
        <f t="shared" si="59"/>
        <v>0</v>
      </c>
    </row>
    <row r="68" spans="2:24" s="2" customFormat="1" x14ac:dyDescent="0.35">
      <c r="C68" s="16"/>
      <c r="D68" s="9"/>
      <c r="E68" s="9"/>
      <c r="F68" s="9"/>
      <c r="G68" s="9"/>
      <c r="H68" s="9"/>
      <c r="I68" s="9"/>
      <c r="J68" s="5"/>
      <c r="K68" s="5"/>
      <c r="L68" s="5"/>
      <c r="M68" s="5"/>
      <c r="N68" s="4"/>
      <c r="O68" s="41"/>
      <c r="P68" s="41"/>
      <c r="Q68" s="41"/>
      <c r="R68" s="41"/>
      <c r="S68" s="41"/>
      <c r="T68" s="42"/>
      <c r="U68" s="42"/>
      <c r="V68" s="42"/>
      <c r="W68" s="42"/>
      <c r="X68" s="42"/>
    </row>
    <row r="69" spans="2:24" ht="15" thickBot="1" x14ac:dyDescent="0.4">
      <c r="C69" s="16"/>
      <c r="D69" s="9"/>
      <c r="E69" s="9"/>
      <c r="F69" s="9"/>
      <c r="G69" s="9"/>
      <c r="H69" s="9"/>
      <c r="I69" s="9"/>
      <c r="J69" s="5"/>
      <c r="K69" s="5"/>
      <c r="L69" s="5"/>
      <c r="M69" s="5"/>
      <c r="N69" s="4"/>
      <c r="O69" s="41"/>
      <c r="P69" s="41"/>
      <c r="Q69" s="41"/>
      <c r="R69" s="41"/>
      <c r="S69" s="41"/>
      <c r="T69" s="42"/>
      <c r="U69" s="42"/>
      <c r="V69" s="42"/>
      <c r="W69" s="42"/>
      <c r="X69" s="42"/>
    </row>
    <row r="70" spans="2:24" s="71" customFormat="1" ht="43.5" x14ac:dyDescent="0.35">
      <c r="C70" s="75" t="s">
        <v>92</v>
      </c>
      <c r="D70" s="74" t="s">
        <v>7</v>
      </c>
      <c r="E70" s="74" t="str">
        <f>E18</f>
        <v>Fin.
AFD, EU, GCF, GVNT</v>
      </c>
      <c r="F70" s="74" t="str">
        <f>F18</f>
        <v>Durée de vie (an)</v>
      </c>
      <c r="G70" s="74" t="s">
        <v>26</v>
      </c>
      <c r="H70" s="72">
        <v>2021</v>
      </c>
      <c r="I70" s="72">
        <v>2022</v>
      </c>
      <c r="J70" s="72">
        <v>2023</v>
      </c>
      <c r="K70" s="72">
        <v>2024</v>
      </c>
      <c r="L70" s="72">
        <v>2025</v>
      </c>
      <c r="M70" s="69" t="s">
        <v>36</v>
      </c>
      <c r="N70" s="62" t="s">
        <v>37</v>
      </c>
      <c r="O70" s="73" t="s">
        <v>9</v>
      </c>
      <c r="P70" s="73" t="s">
        <v>10</v>
      </c>
      <c r="Q70" s="73" t="s">
        <v>11</v>
      </c>
      <c r="R70" s="73" t="s">
        <v>12</v>
      </c>
      <c r="S70" s="73" t="s">
        <v>39</v>
      </c>
      <c r="T70" s="151" t="s">
        <v>22</v>
      </c>
      <c r="U70" s="160"/>
      <c r="V70" s="161"/>
      <c r="W70" s="161"/>
      <c r="X70" s="162"/>
    </row>
    <row r="71" spans="2:24" x14ac:dyDescent="0.35">
      <c r="B71" s="170" t="s">
        <v>166</v>
      </c>
      <c r="C71" s="288" t="s">
        <v>41</v>
      </c>
      <c r="D71" s="65" t="s">
        <v>60</v>
      </c>
      <c r="E71" s="76" t="s">
        <v>264</v>
      </c>
      <c r="F71" s="66"/>
      <c r="G71" s="65" t="s">
        <v>56</v>
      </c>
      <c r="H71" s="51"/>
      <c r="I71" s="51">
        <v>0.25</v>
      </c>
      <c r="J71" s="51">
        <v>0.75</v>
      </c>
      <c r="K71" s="51"/>
      <c r="L71" s="51"/>
      <c r="M71" s="116">
        <f>SUM(H71:L71)</f>
        <v>1</v>
      </c>
      <c r="N71" s="63">
        <v>500000</v>
      </c>
      <c r="O71" s="48">
        <f>H71*$N71</f>
        <v>0</v>
      </c>
      <c r="P71" s="48">
        <f>I71*$N71</f>
        <v>125000</v>
      </c>
      <c r="Q71" s="48">
        <f>J71*$N71</f>
        <v>375000</v>
      </c>
      <c r="R71" s="48">
        <f>K71*$N71</f>
        <v>0</v>
      </c>
      <c r="S71" s="48">
        <f>L71*$N71</f>
        <v>0</v>
      </c>
      <c r="T71" s="140">
        <f>SUM(O71:S71)</f>
        <v>500000</v>
      </c>
      <c r="U71" s="155">
        <f t="shared" ref="U71:X76" si="60">IF($E71=U$2,$T71,0)</f>
        <v>0</v>
      </c>
      <c r="V71" s="148">
        <f t="shared" si="60"/>
        <v>500000</v>
      </c>
      <c r="W71" s="148">
        <f t="shared" si="60"/>
        <v>0</v>
      </c>
      <c r="X71" s="156">
        <f t="shared" si="60"/>
        <v>0</v>
      </c>
    </row>
    <row r="72" spans="2:24" ht="29" x14ac:dyDescent="0.35">
      <c r="B72" s="170" t="s">
        <v>167</v>
      </c>
      <c r="C72" s="284"/>
      <c r="D72" s="76" t="s">
        <v>57</v>
      </c>
      <c r="E72" s="76" t="s">
        <v>264</v>
      </c>
      <c r="F72" s="77"/>
      <c r="G72" s="76" t="s">
        <v>56</v>
      </c>
      <c r="H72" s="78">
        <v>0.5</v>
      </c>
      <c r="I72" s="78">
        <v>0.5</v>
      </c>
      <c r="J72" s="78"/>
      <c r="K72" s="78"/>
      <c r="L72" s="78"/>
      <c r="M72" s="116">
        <f t="shared" ref="M72:M75" si="61">SUM(H72:L72)</f>
        <v>1</v>
      </c>
      <c r="N72" s="80">
        <v>360000</v>
      </c>
      <c r="O72" s="81">
        <f t="shared" ref="O72:O76" si="62">H72*$N72</f>
        <v>180000</v>
      </c>
      <c r="P72" s="81">
        <f t="shared" ref="P72:P76" si="63">I72*$N72</f>
        <v>180000</v>
      </c>
      <c r="Q72" s="81">
        <f t="shared" ref="Q72:Q76" si="64">J72*$N72</f>
        <v>0</v>
      </c>
      <c r="R72" s="81">
        <f t="shared" ref="R72:S76" si="65">K72*$N72</f>
        <v>0</v>
      </c>
      <c r="S72" s="81">
        <f t="shared" si="65"/>
        <v>0</v>
      </c>
      <c r="T72" s="143">
        <f t="shared" ref="T72:T76" si="66">SUM(O72:S72)</f>
        <v>360000</v>
      </c>
      <c r="U72" s="155">
        <f t="shared" si="60"/>
        <v>0</v>
      </c>
      <c r="V72" s="148">
        <f t="shared" si="60"/>
        <v>360000</v>
      </c>
      <c r="W72" s="148">
        <f t="shared" si="60"/>
        <v>0</v>
      </c>
      <c r="X72" s="156">
        <f t="shared" si="60"/>
        <v>0</v>
      </c>
    </row>
    <row r="73" spans="2:24" x14ac:dyDescent="0.35">
      <c r="B73" s="170" t="s">
        <v>169</v>
      </c>
      <c r="C73" s="284"/>
      <c r="D73" s="76" t="s">
        <v>244</v>
      </c>
      <c r="E73" s="76" t="s">
        <v>265</v>
      </c>
      <c r="F73" s="77"/>
      <c r="G73" s="76" t="s">
        <v>303</v>
      </c>
      <c r="H73" s="78"/>
      <c r="I73" s="78">
        <v>1</v>
      </c>
      <c r="J73" s="114">
        <v>1</v>
      </c>
      <c r="K73" s="114"/>
      <c r="L73" s="78"/>
      <c r="M73" s="116">
        <f t="shared" si="61"/>
        <v>2</v>
      </c>
      <c r="N73" s="80">
        <v>150000</v>
      </c>
      <c r="O73" s="81">
        <f t="shared" si="62"/>
        <v>0</v>
      </c>
      <c r="P73" s="81">
        <f t="shared" si="63"/>
        <v>150000</v>
      </c>
      <c r="Q73" s="81">
        <f t="shared" si="64"/>
        <v>150000</v>
      </c>
      <c r="R73" s="81">
        <f t="shared" si="65"/>
        <v>0</v>
      </c>
      <c r="S73" s="81">
        <f t="shared" si="65"/>
        <v>0</v>
      </c>
      <c r="T73" s="143">
        <f t="shared" si="66"/>
        <v>300000</v>
      </c>
      <c r="U73" s="155">
        <f t="shared" si="60"/>
        <v>0</v>
      </c>
      <c r="V73" s="148">
        <f t="shared" si="60"/>
        <v>0</v>
      </c>
      <c r="W73" s="148">
        <f t="shared" si="60"/>
        <v>300000</v>
      </c>
      <c r="X73" s="156">
        <f t="shared" si="60"/>
        <v>0</v>
      </c>
    </row>
    <row r="74" spans="2:24" x14ac:dyDescent="0.35">
      <c r="B74" s="170" t="s">
        <v>169</v>
      </c>
      <c r="C74" s="284"/>
      <c r="D74" s="76" t="s">
        <v>245</v>
      </c>
      <c r="E74" s="76" t="s">
        <v>265</v>
      </c>
      <c r="F74" s="77"/>
      <c r="G74" s="76" t="s">
        <v>303</v>
      </c>
      <c r="H74" s="78"/>
      <c r="I74" s="78"/>
      <c r="J74" s="114">
        <v>1</v>
      </c>
      <c r="K74" s="78">
        <v>1</v>
      </c>
      <c r="L74" s="114"/>
      <c r="M74" s="116">
        <f t="shared" ref="M74" si="67">SUM(H74:L74)</f>
        <v>2</v>
      </c>
      <c r="N74" s="80">
        <v>150000</v>
      </c>
      <c r="O74" s="81">
        <f t="shared" ref="O74" si="68">H74*$N74</f>
        <v>0</v>
      </c>
      <c r="P74" s="81">
        <f t="shared" ref="P74" si="69">I74*$N74</f>
        <v>0</v>
      </c>
      <c r="Q74" s="81">
        <f t="shared" ref="Q74" si="70">J74*$N74</f>
        <v>150000</v>
      </c>
      <c r="R74" s="81">
        <f t="shared" ref="R74" si="71">K74*$N74</f>
        <v>150000</v>
      </c>
      <c r="S74" s="81">
        <f t="shared" ref="S74" si="72">L74*$N74</f>
        <v>0</v>
      </c>
      <c r="T74" s="143">
        <f t="shared" ref="T74" si="73">SUM(O74:S74)</f>
        <v>300000</v>
      </c>
      <c r="U74" s="155">
        <f t="shared" si="60"/>
        <v>0</v>
      </c>
      <c r="V74" s="148">
        <f t="shared" si="60"/>
        <v>0</v>
      </c>
      <c r="W74" s="148">
        <f t="shared" si="60"/>
        <v>300000</v>
      </c>
      <c r="X74" s="156">
        <f t="shared" si="60"/>
        <v>0</v>
      </c>
    </row>
    <row r="75" spans="2:24" x14ac:dyDescent="0.35">
      <c r="B75" s="170" t="s">
        <v>169</v>
      </c>
      <c r="C75" s="284"/>
      <c r="D75" s="76" t="s">
        <v>246</v>
      </c>
      <c r="E75" s="76" t="s">
        <v>265</v>
      </c>
      <c r="F75" s="77"/>
      <c r="G75" s="76" t="s">
        <v>303</v>
      </c>
      <c r="H75" s="78"/>
      <c r="I75" s="78"/>
      <c r="J75" s="114">
        <v>1</v>
      </c>
      <c r="K75" s="78">
        <v>1</v>
      </c>
      <c r="L75" s="114"/>
      <c r="M75" s="116">
        <f t="shared" si="61"/>
        <v>2</v>
      </c>
      <c r="N75" s="80">
        <v>150000</v>
      </c>
      <c r="O75" s="81">
        <f t="shared" si="62"/>
        <v>0</v>
      </c>
      <c r="P75" s="81">
        <f t="shared" si="63"/>
        <v>0</v>
      </c>
      <c r="Q75" s="81">
        <f t="shared" si="64"/>
        <v>150000</v>
      </c>
      <c r="R75" s="81">
        <f t="shared" si="65"/>
        <v>150000</v>
      </c>
      <c r="S75" s="81">
        <f t="shared" si="65"/>
        <v>0</v>
      </c>
      <c r="T75" s="143">
        <f t="shared" si="66"/>
        <v>300000</v>
      </c>
      <c r="U75" s="155">
        <f t="shared" si="60"/>
        <v>0</v>
      </c>
      <c r="V75" s="148">
        <f t="shared" si="60"/>
        <v>0</v>
      </c>
      <c r="W75" s="148">
        <f t="shared" si="60"/>
        <v>300000</v>
      </c>
      <c r="X75" s="156">
        <f t="shared" si="60"/>
        <v>0</v>
      </c>
    </row>
    <row r="76" spans="2:24" ht="15" thickBot="1" x14ac:dyDescent="0.4">
      <c r="B76" s="170" t="s">
        <v>169</v>
      </c>
      <c r="C76" s="285"/>
      <c r="D76" s="67" t="s">
        <v>247</v>
      </c>
      <c r="E76" s="76" t="s">
        <v>265</v>
      </c>
      <c r="F76" s="68"/>
      <c r="G76" s="76" t="s">
        <v>303</v>
      </c>
      <c r="H76" s="52">
        <v>1</v>
      </c>
      <c r="I76" s="52">
        <v>1</v>
      </c>
      <c r="J76" s="52"/>
      <c r="K76" s="115"/>
      <c r="L76" s="52"/>
      <c r="M76" s="117">
        <f>SUM(H76:L76)</f>
        <v>2</v>
      </c>
      <c r="N76" s="64">
        <v>150000</v>
      </c>
      <c r="O76" s="49">
        <f t="shared" si="62"/>
        <v>150000</v>
      </c>
      <c r="P76" s="49">
        <f t="shared" si="63"/>
        <v>150000</v>
      </c>
      <c r="Q76" s="49">
        <f t="shared" si="64"/>
        <v>0</v>
      </c>
      <c r="R76" s="49">
        <f t="shared" si="65"/>
        <v>0</v>
      </c>
      <c r="S76" s="49">
        <f t="shared" si="65"/>
        <v>0</v>
      </c>
      <c r="T76" s="141">
        <f t="shared" si="66"/>
        <v>300000</v>
      </c>
      <c r="U76" s="157">
        <f t="shared" si="60"/>
        <v>0</v>
      </c>
      <c r="V76" s="158">
        <f t="shared" si="60"/>
        <v>0</v>
      </c>
      <c r="W76" s="158">
        <f t="shared" si="60"/>
        <v>300000</v>
      </c>
      <c r="X76" s="159">
        <f t="shared" si="60"/>
        <v>0</v>
      </c>
    </row>
    <row r="77" spans="2:24" ht="15" thickBot="1" x14ac:dyDescent="0.4">
      <c r="C77" s="16"/>
      <c r="D77" s="9"/>
      <c r="E77" s="9"/>
      <c r="F77" s="9"/>
      <c r="G77" s="9"/>
      <c r="H77" s="9"/>
      <c r="I77" s="9"/>
      <c r="J77" s="5"/>
      <c r="K77" s="5"/>
      <c r="L77" s="5"/>
      <c r="M77" s="5"/>
      <c r="N77" s="4"/>
      <c r="O77" s="39"/>
      <c r="P77" s="39"/>
      <c r="Q77" s="40"/>
      <c r="R77" s="40"/>
      <c r="S77" s="40"/>
      <c r="T77" s="41"/>
      <c r="U77" s="41"/>
      <c r="V77" s="41"/>
      <c r="W77" s="41"/>
      <c r="X77" s="41"/>
    </row>
    <row r="78" spans="2:24" s="45" customFormat="1" ht="15" thickBot="1" x14ac:dyDescent="0.4">
      <c r="C78" s="47"/>
      <c r="D78" s="46"/>
      <c r="E78" s="46"/>
      <c r="F78" s="46"/>
      <c r="G78" s="46"/>
      <c r="H78" s="46"/>
      <c r="I78" s="46"/>
      <c r="J78" s="46"/>
      <c r="K78" s="46"/>
      <c r="L78" s="87"/>
      <c r="M78" s="88"/>
      <c r="N78" s="89" t="s">
        <v>98</v>
      </c>
      <c r="O78" s="83">
        <f>SUM(O71:O76)</f>
        <v>330000</v>
      </c>
      <c r="P78" s="84">
        <f>SUM(P71:P76)</f>
        <v>605000</v>
      </c>
      <c r="Q78" s="84">
        <f>SUM(Q71:Q76)</f>
        <v>825000</v>
      </c>
      <c r="R78" s="84">
        <f>SUM(R71:R76)</f>
        <v>300000</v>
      </c>
      <c r="S78" s="85">
        <f>SUM(S71:S76)</f>
        <v>0</v>
      </c>
      <c r="T78" s="61">
        <f>SUM(O78:S78)</f>
        <v>2060000</v>
      </c>
      <c r="U78" s="147">
        <f>SUM(U71:U76)</f>
        <v>0</v>
      </c>
      <c r="V78" s="149">
        <f t="shared" ref="V78:X78" si="74">SUM(V71:V76)</f>
        <v>860000</v>
      </c>
      <c r="W78" s="149">
        <f>SUM(W71:W76)</f>
        <v>1200000</v>
      </c>
      <c r="X78" s="150">
        <f t="shared" si="74"/>
        <v>0</v>
      </c>
    </row>
    <row r="79" spans="2:24" s="2" customFormat="1" x14ac:dyDescent="0.35">
      <c r="C79" s="16"/>
      <c r="D79" s="9"/>
      <c r="E79" s="9"/>
      <c r="F79" s="9"/>
      <c r="G79" s="9"/>
      <c r="H79" s="9"/>
      <c r="I79" s="9"/>
      <c r="J79" s="5"/>
      <c r="K79" s="5"/>
      <c r="L79" s="5"/>
      <c r="M79" s="5"/>
      <c r="N79" s="4"/>
      <c r="O79" s="41"/>
      <c r="P79" s="41"/>
      <c r="Q79" s="41"/>
      <c r="R79" s="41"/>
      <c r="S79" s="41"/>
      <c r="T79" s="42"/>
      <c r="U79" s="42"/>
      <c r="V79" s="42"/>
      <c r="W79" s="42"/>
      <c r="X79" s="42"/>
    </row>
    <row r="80" spans="2:24" x14ac:dyDescent="0.35">
      <c r="C80" s="16"/>
      <c r="D80" s="9"/>
      <c r="E80" s="9"/>
      <c r="F80" s="9"/>
      <c r="G80" s="9"/>
      <c r="H80" s="9"/>
      <c r="I80" s="9"/>
      <c r="J80" s="5"/>
      <c r="K80" s="5"/>
      <c r="L80" s="5"/>
      <c r="M80" s="5"/>
      <c r="N80" s="4"/>
      <c r="O80" s="41"/>
      <c r="P80" s="41"/>
      <c r="Q80" s="41"/>
      <c r="R80" s="41"/>
      <c r="S80" s="41"/>
      <c r="T80" s="42"/>
      <c r="U80" s="42"/>
      <c r="V80" s="42"/>
      <c r="W80" s="42"/>
      <c r="X80" s="42"/>
    </row>
    <row r="81" spans="2:24" ht="15" thickBot="1" x14ac:dyDescent="0.4">
      <c r="C81" s="16"/>
      <c r="D81" s="9"/>
      <c r="E81" s="9"/>
      <c r="F81" s="9"/>
      <c r="G81" s="9"/>
      <c r="H81" s="9"/>
      <c r="I81" s="9"/>
      <c r="J81" s="5"/>
      <c r="K81" s="5"/>
      <c r="L81" s="5"/>
      <c r="M81" s="5"/>
      <c r="N81" s="4"/>
      <c r="O81" s="41"/>
      <c r="P81" s="41"/>
      <c r="Q81" s="41"/>
      <c r="R81" s="41"/>
      <c r="S81" s="41"/>
      <c r="T81" s="42"/>
      <c r="U81" s="42"/>
      <c r="V81" s="42"/>
      <c r="W81" s="42"/>
      <c r="X81" s="42"/>
    </row>
    <row r="82" spans="2:24" ht="29.5" thickBot="1" x14ac:dyDescent="0.4">
      <c r="C82" s="91"/>
      <c r="D82" s="92"/>
      <c r="E82" s="92"/>
      <c r="F82" s="92"/>
      <c r="G82" s="92"/>
      <c r="H82" s="92"/>
      <c r="I82" s="92"/>
      <c r="J82" s="93"/>
      <c r="K82" s="93"/>
      <c r="L82" s="93"/>
      <c r="M82" s="93"/>
      <c r="N82" s="94"/>
      <c r="O82" s="100" t="s">
        <v>64</v>
      </c>
      <c r="P82" s="100" t="s">
        <v>39</v>
      </c>
      <c r="Q82" s="100" t="s">
        <v>65</v>
      </c>
      <c r="R82" s="100" t="s">
        <v>66</v>
      </c>
      <c r="S82" s="101" t="s">
        <v>67</v>
      </c>
      <c r="T82" s="105" t="s">
        <v>55</v>
      </c>
      <c r="U82" s="144"/>
      <c r="V82" s="144"/>
      <c r="W82" s="144"/>
      <c r="X82" s="144"/>
    </row>
    <row r="83" spans="2:24" s="45" customFormat="1" ht="15" thickBot="1" x14ac:dyDescent="0.4">
      <c r="C83" s="95"/>
      <c r="D83" s="96"/>
      <c r="E83" s="96"/>
      <c r="F83" s="96"/>
      <c r="G83" s="96"/>
      <c r="H83" s="96"/>
      <c r="I83" s="96"/>
      <c r="J83" s="96"/>
      <c r="K83" s="96"/>
      <c r="L83" s="90"/>
      <c r="M83" s="97"/>
      <c r="N83" s="98" t="s">
        <v>99</v>
      </c>
      <c r="O83" s="102">
        <f>O78+O67+O16+O54+O37</f>
        <v>2914500</v>
      </c>
      <c r="P83" s="103">
        <f>P78+P67+P16+P54+P37</f>
        <v>8797500</v>
      </c>
      <c r="Q83" s="103">
        <f>Q78+Q67+Q16+Q54+Q37</f>
        <v>2412500</v>
      </c>
      <c r="R83" s="103">
        <f>R78+R67+R16+R54+R37</f>
        <v>552000</v>
      </c>
      <c r="S83" s="104">
        <f>S78+S67+S16+S54+S37</f>
        <v>252000</v>
      </c>
      <c r="T83" s="99">
        <f>SUM(O83:S83)</f>
        <v>14928500</v>
      </c>
      <c r="U83" s="147">
        <f>SUM(U78,U67,U16,U54,U37)</f>
        <v>800000</v>
      </c>
      <c r="V83" s="149">
        <f>SUM(V78,V67,V16,V54,V37)</f>
        <v>2610000</v>
      </c>
      <c r="W83" s="149">
        <f>SUM(W78,W67,W16,W54,W37)</f>
        <v>11518500</v>
      </c>
      <c r="X83" s="150">
        <f>SUM(X78,X67,X16,X54,X37)</f>
        <v>0</v>
      </c>
    </row>
    <row r="84" spans="2:24" x14ac:dyDescent="0.35">
      <c r="C84" s="2"/>
      <c r="D84" s="2"/>
      <c r="E84" s="2"/>
      <c r="F84" s="2"/>
      <c r="G84" s="2"/>
      <c r="H84" s="2"/>
      <c r="I84" s="2"/>
      <c r="J84" s="5"/>
      <c r="K84" s="5"/>
      <c r="L84" s="5"/>
      <c r="M84" s="5"/>
      <c r="N84" s="4"/>
      <c r="O84" s="39"/>
      <c r="P84" s="39"/>
      <c r="Q84" s="39"/>
      <c r="R84" s="39"/>
      <c r="S84" s="39"/>
      <c r="T84" s="39"/>
      <c r="U84" s="39"/>
      <c r="V84" s="39"/>
      <c r="W84" s="39"/>
      <c r="X84" s="39"/>
    </row>
    <row r="85" spans="2:24" ht="15" thickBot="1" x14ac:dyDescent="0.4">
      <c r="C85" s="2"/>
      <c r="D85" s="2"/>
      <c r="E85" s="2"/>
      <c r="F85" s="2"/>
      <c r="G85" s="2"/>
      <c r="H85" s="2"/>
      <c r="I85" s="2"/>
      <c r="J85" s="5"/>
      <c r="K85" s="5"/>
      <c r="L85" s="5"/>
      <c r="M85" s="5"/>
      <c r="N85" s="4"/>
      <c r="O85" s="39"/>
      <c r="P85" s="39"/>
      <c r="Q85" s="39"/>
      <c r="R85" s="39"/>
      <c r="S85" s="39"/>
      <c r="T85" s="39"/>
      <c r="U85" s="39"/>
      <c r="V85" s="39"/>
      <c r="W85" s="39"/>
      <c r="X85" s="39"/>
    </row>
    <row r="86" spans="2:24" s="71" customFormat="1" ht="29" x14ac:dyDescent="0.35">
      <c r="C86" s="75" t="s">
        <v>91</v>
      </c>
      <c r="D86" s="74" t="s">
        <v>7</v>
      </c>
      <c r="E86" s="74"/>
      <c r="F86" s="74"/>
      <c r="G86" s="74" t="s">
        <v>26</v>
      </c>
      <c r="H86" s="72">
        <v>2021</v>
      </c>
      <c r="I86" s="72">
        <v>2022</v>
      </c>
      <c r="J86" s="72">
        <v>2023</v>
      </c>
      <c r="K86" s="72">
        <v>2024</v>
      </c>
      <c r="L86" s="72">
        <v>2025</v>
      </c>
      <c r="M86" s="69" t="s">
        <v>36</v>
      </c>
      <c r="N86" s="62" t="s">
        <v>37</v>
      </c>
      <c r="O86" s="73" t="s">
        <v>64</v>
      </c>
      <c r="P86" s="73" t="s">
        <v>39</v>
      </c>
      <c r="Q86" s="73" t="s">
        <v>65</v>
      </c>
      <c r="R86" s="120" t="s">
        <v>66</v>
      </c>
      <c r="S86" s="128" t="s">
        <v>67</v>
      </c>
      <c r="T86" s="151" t="s">
        <v>111</v>
      </c>
      <c r="U86" s="160"/>
      <c r="V86" s="161"/>
      <c r="W86" s="161"/>
      <c r="X86" s="162"/>
    </row>
    <row r="87" spans="2:24" ht="22.5" customHeight="1" x14ac:dyDescent="0.35">
      <c r="B87" s="170">
        <v>4.2</v>
      </c>
      <c r="C87" s="284" t="s">
        <v>48</v>
      </c>
      <c r="D87" s="65" t="s">
        <v>318</v>
      </c>
      <c r="E87" s="65" t="s">
        <v>108</v>
      </c>
      <c r="F87" s="66"/>
      <c r="G87" s="65" t="s">
        <v>32</v>
      </c>
      <c r="H87" s="126"/>
      <c r="I87" s="127"/>
      <c r="J87" s="127"/>
      <c r="K87" s="127"/>
      <c r="L87" s="127"/>
      <c r="M87" s="127">
        <f t="shared" ref="M87:M88" si="75">SUM(H87:K87)</f>
        <v>0</v>
      </c>
      <c r="N87" s="118">
        <v>7.0000000000000007E-2</v>
      </c>
      <c r="O87" s="48">
        <v>0</v>
      </c>
      <c r="P87" s="48">
        <f>ROUND($N87*O37+O87,-3)</f>
        <v>56000</v>
      </c>
      <c r="Q87" s="48">
        <f t="shared" ref="Q87:S87" si="76">ROUND($N87*P37+P87,-3)</f>
        <v>369000</v>
      </c>
      <c r="R87" s="48">
        <f t="shared" si="76"/>
        <v>421000</v>
      </c>
      <c r="S87" s="48">
        <f t="shared" si="76"/>
        <v>421000</v>
      </c>
      <c r="T87" s="140">
        <f t="shared" ref="T87:T88" si="77">SUM(O87:S87)</f>
        <v>1267000</v>
      </c>
      <c r="U87" s="155">
        <f t="shared" ref="U87:X88" si="78">IF($E87=U$2,$T87,0)</f>
        <v>0</v>
      </c>
      <c r="V87" s="148">
        <f t="shared" si="78"/>
        <v>0</v>
      </c>
      <c r="W87" s="148">
        <f t="shared" si="78"/>
        <v>0</v>
      </c>
      <c r="X87" s="156">
        <f t="shared" si="78"/>
        <v>1267000</v>
      </c>
    </row>
    <row r="88" spans="2:24" ht="22.5" customHeight="1" thickBot="1" x14ac:dyDescent="0.4">
      <c r="B88" s="170">
        <v>4.2</v>
      </c>
      <c r="C88" s="285"/>
      <c r="D88" s="67" t="s">
        <v>319</v>
      </c>
      <c r="E88" s="76" t="s">
        <v>265</v>
      </c>
      <c r="F88" s="68"/>
      <c r="G88" s="67" t="s">
        <v>32</v>
      </c>
      <c r="H88" s="129"/>
      <c r="I88" s="130"/>
      <c r="J88" s="130"/>
      <c r="K88" s="130"/>
      <c r="L88" s="130"/>
      <c r="M88" s="130">
        <f t="shared" si="75"/>
        <v>0</v>
      </c>
      <c r="N88" s="119">
        <v>7.0000000000000007E-2</v>
      </c>
      <c r="O88" s="49">
        <v>0</v>
      </c>
      <c r="P88" s="49">
        <f>ROUND($N88*O54+O88,-3)</f>
        <v>56000</v>
      </c>
      <c r="Q88" s="49">
        <f t="shared" ref="Q88:S88" si="79">ROUND($N88*P54+P88,-3)</f>
        <v>194000</v>
      </c>
      <c r="R88" s="49">
        <f t="shared" si="79"/>
        <v>203000</v>
      </c>
      <c r="S88" s="49">
        <f t="shared" si="79"/>
        <v>203000</v>
      </c>
      <c r="T88" s="141">
        <f t="shared" si="77"/>
        <v>656000</v>
      </c>
      <c r="U88" s="157">
        <f t="shared" si="78"/>
        <v>0</v>
      </c>
      <c r="V88" s="158">
        <f t="shared" si="78"/>
        <v>0</v>
      </c>
      <c r="W88" s="158">
        <f t="shared" si="78"/>
        <v>656000</v>
      </c>
      <c r="X88" s="159">
        <f t="shared" si="78"/>
        <v>0</v>
      </c>
    </row>
    <row r="89" spans="2:24" ht="15" thickBot="1" x14ac:dyDescent="0.4">
      <c r="C89" s="16"/>
      <c r="D89" s="9"/>
      <c r="E89" s="9"/>
      <c r="F89" s="9"/>
      <c r="G89" s="9"/>
      <c r="H89" s="9"/>
      <c r="I89" s="9"/>
      <c r="J89" s="5"/>
      <c r="K89" s="5"/>
      <c r="L89" s="5"/>
      <c r="M89" s="5"/>
      <c r="N89" s="4"/>
      <c r="O89" s="39"/>
      <c r="P89" s="39"/>
      <c r="Q89" s="40"/>
      <c r="R89" s="40"/>
      <c r="S89" s="40"/>
      <c r="T89" s="41"/>
      <c r="U89" s="41"/>
      <c r="V89" s="41"/>
      <c r="W89" s="41"/>
      <c r="X89" s="41"/>
    </row>
    <row r="90" spans="2:24" s="45" customFormat="1" ht="15" thickBot="1" x14ac:dyDescent="0.4">
      <c r="C90" s="47"/>
      <c r="D90" s="46"/>
      <c r="E90" s="46"/>
      <c r="F90" s="46"/>
      <c r="G90" s="46"/>
      <c r="H90" s="46"/>
      <c r="I90" s="46"/>
      <c r="J90" s="46"/>
      <c r="K90" s="46"/>
      <c r="L90" s="87"/>
      <c r="M90" s="88"/>
      <c r="N90" s="89" t="s">
        <v>100</v>
      </c>
      <c r="O90" s="83">
        <f>SUM(O87:O88)</f>
        <v>0</v>
      </c>
      <c r="P90" s="84">
        <f>SUM(P87:P88)</f>
        <v>112000</v>
      </c>
      <c r="Q90" s="84">
        <f>SUM(Q87:Q88)</f>
        <v>563000</v>
      </c>
      <c r="R90" s="84">
        <f>SUM(R87:R88)</f>
        <v>624000</v>
      </c>
      <c r="S90" s="85">
        <f>SUM(S87:S88)</f>
        <v>624000</v>
      </c>
      <c r="T90" s="61">
        <f>SUM(O90:S90)</f>
        <v>1923000</v>
      </c>
      <c r="U90" s="147">
        <f>SUM(U87:U88)</f>
        <v>0</v>
      </c>
      <c r="V90" s="149">
        <f t="shared" ref="V90:X90" si="80">SUM(V87:V88)</f>
        <v>0</v>
      </c>
      <c r="W90" s="149">
        <f t="shared" si="80"/>
        <v>656000</v>
      </c>
      <c r="X90" s="150">
        <f t="shared" si="80"/>
        <v>1267000</v>
      </c>
    </row>
    <row r="91" spans="2:24" x14ac:dyDescent="0.35">
      <c r="C91" s="2"/>
      <c r="D91" s="2"/>
      <c r="E91" s="2"/>
      <c r="F91" s="2"/>
      <c r="G91" s="2"/>
      <c r="H91" s="2"/>
      <c r="I91" s="2"/>
      <c r="J91" s="5"/>
      <c r="K91" s="5"/>
      <c r="L91" s="5"/>
      <c r="M91" s="5"/>
      <c r="N91" s="4"/>
      <c r="O91" s="39"/>
      <c r="P91" s="39"/>
      <c r="Q91" s="39"/>
      <c r="R91" s="39"/>
      <c r="S91" s="39"/>
      <c r="T91" s="39"/>
      <c r="U91" s="39"/>
      <c r="V91" s="39"/>
      <c r="W91" s="39"/>
      <c r="X91" s="39"/>
    </row>
    <row r="92" spans="2:24" ht="15" thickBot="1" x14ac:dyDescent="0.4">
      <c r="C92" s="2"/>
      <c r="D92" s="2"/>
      <c r="E92" s="2"/>
      <c r="F92" s="2"/>
      <c r="G92" s="2"/>
      <c r="H92" s="2"/>
      <c r="I92" s="2"/>
      <c r="J92" s="5"/>
      <c r="K92" s="5"/>
      <c r="L92" s="5"/>
      <c r="M92" s="5"/>
      <c r="N92" s="4"/>
      <c r="O92" s="39"/>
      <c r="P92" s="39"/>
      <c r="Q92" s="39"/>
      <c r="R92" s="39"/>
      <c r="S92" s="39"/>
      <c r="T92" s="39"/>
      <c r="U92" s="39"/>
      <c r="V92" s="39"/>
      <c r="W92" s="39"/>
      <c r="X92" s="39"/>
    </row>
    <row r="93" spans="2:24" ht="30" thickTop="1" thickBot="1" x14ac:dyDescent="0.4">
      <c r="C93" s="91"/>
      <c r="D93" s="92"/>
      <c r="E93" s="92"/>
      <c r="F93" s="92"/>
      <c r="G93" s="92"/>
      <c r="H93" s="92"/>
      <c r="I93" s="92"/>
      <c r="J93" s="93"/>
      <c r="K93" s="93"/>
      <c r="L93" s="93"/>
      <c r="M93" s="93"/>
      <c r="N93" s="94"/>
      <c r="O93" s="43" t="s">
        <v>64</v>
      </c>
      <c r="P93" s="43" t="s">
        <v>39</v>
      </c>
      <c r="Q93" s="43" t="s">
        <v>65</v>
      </c>
      <c r="R93" s="43" t="s">
        <v>66</v>
      </c>
      <c r="S93" s="43" t="s">
        <v>67</v>
      </c>
      <c r="T93" s="86" t="s">
        <v>83</v>
      </c>
      <c r="U93" s="160"/>
      <c r="V93" s="161"/>
      <c r="W93" s="161"/>
      <c r="X93" s="162"/>
    </row>
    <row r="94" spans="2:24" s="45" customFormat="1" ht="15.5" thickTop="1" thickBot="1" x14ac:dyDescent="0.4">
      <c r="C94" s="95"/>
      <c r="D94" s="96"/>
      <c r="E94" s="96"/>
      <c r="F94" s="96"/>
      <c r="G94" s="96"/>
      <c r="H94" s="96"/>
      <c r="I94" s="96"/>
      <c r="J94" s="96"/>
      <c r="K94" s="96"/>
      <c r="L94" s="90"/>
      <c r="M94" s="97"/>
      <c r="N94" s="98" t="s">
        <v>101</v>
      </c>
      <c r="O94" s="102">
        <f t="shared" ref="O94:S94" si="81">O90+O83</f>
        <v>2914500</v>
      </c>
      <c r="P94" s="103">
        <f t="shared" si="81"/>
        <v>8909500</v>
      </c>
      <c r="Q94" s="103">
        <f t="shared" si="81"/>
        <v>2975500</v>
      </c>
      <c r="R94" s="103">
        <f t="shared" si="81"/>
        <v>1176000</v>
      </c>
      <c r="S94" s="104">
        <f t="shared" si="81"/>
        <v>876000</v>
      </c>
      <c r="T94" s="86">
        <f>T90+T83</f>
        <v>16851500</v>
      </c>
      <c r="U94" s="147">
        <f t="shared" ref="U94:X94" si="82">U90+U83</f>
        <v>800000</v>
      </c>
      <c r="V94" s="149">
        <f t="shared" si="82"/>
        <v>2610000</v>
      </c>
      <c r="W94" s="149">
        <f t="shared" si="82"/>
        <v>12174500</v>
      </c>
      <c r="X94" s="150">
        <f t="shared" si="82"/>
        <v>1267000</v>
      </c>
    </row>
    <row r="95" spans="2:24" s="2" customFormat="1" x14ac:dyDescent="0.35">
      <c r="C95" s="16"/>
      <c r="D95" s="9"/>
      <c r="E95" s="9"/>
      <c r="F95" s="9"/>
      <c r="G95" s="9"/>
      <c r="H95" s="9"/>
      <c r="I95" s="9"/>
      <c r="J95" s="5"/>
      <c r="K95" s="5"/>
      <c r="L95" s="5"/>
      <c r="M95" s="5"/>
      <c r="N95" s="4"/>
      <c r="O95" s="41"/>
      <c r="P95" s="41"/>
      <c r="Q95" s="41"/>
      <c r="R95" s="41"/>
      <c r="S95" s="41"/>
      <c r="T95" s="42"/>
      <c r="U95" s="42"/>
      <c r="V95" s="42"/>
      <c r="W95" s="42"/>
      <c r="X95" s="42"/>
    </row>
    <row r="96" spans="2:24" ht="15" thickBot="1" x14ac:dyDescent="0.4">
      <c r="N96" s="11"/>
      <c r="O96" s="11"/>
      <c r="P96" s="11"/>
      <c r="Q96" s="11"/>
      <c r="R96" s="11"/>
      <c r="S96" s="11"/>
      <c r="T96" s="11"/>
      <c r="U96" s="11"/>
      <c r="V96" s="11"/>
      <c r="W96" s="11"/>
      <c r="X96" s="11"/>
    </row>
    <row r="97" spans="3:24" s="71" customFormat="1" x14ac:dyDescent="0.35">
      <c r="C97" s="75" t="s">
        <v>93</v>
      </c>
      <c r="D97" s="74" t="s">
        <v>7</v>
      </c>
      <c r="E97" s="74"/>
      <c r="F97" s="74"/>
      <c r="G97" s="74" t="s">
        <v>26</v>
      </c>
      <c r="H97" s="72">
        <v>2021</v>
      </c>
      <c r="I97" s="72">
        <v>2022</v>
      </c>
      <c r="J97" s="72">
        <v>2023</v>
      </c>
      <c r="K97" s="72">
        <v>2024</v>
      </c>
      <c r="L97" s="72">
        <v>2025</v>
      </c>
      <c r="M97" s="69"/>
      <c r="N97" s="62"/>
      <c r="O97" s="73">
        <v>2018</v>
      </c>
      <c r="P97" s="73">
        <v>2019</v>
      </c>
      <c r="Q97" s="73">
        <v>2020</v>
      </c>
      <c r="R97" s="73">
        <v>2021</v>
      </c>
      <c r="S97" s="73">
        <v>2022</v>
      </c>
      <c r="T97" s="70" t="s">
        <v>0</v>
      </c>
      <c r="U97" s="11"/>
      <c r="V97" s="11"/>
      <c r="W97" s="11"/>
      <c r="X97" s="11"/>
    </row>
    <row r="98" spans="3:24" x14ac:dyDescent="0.35">
      <c r="C98" s="284" t="s">
        <v>49</v>
      </c>
      <c r="D98" s="6" t="s">
        <v>50</v>
      </c>
      <c r="E98" s="6"/>
      <c r="F98" s="6"/>
      <c r="G98" s="6" t="s">
        <v>52</v>
      </c>
      <c r="H98" s="32"/>
      <c r="I98" s="33"/>
      <c r="J98" s="33"/>
      <c r="K98" s="33"/>
      <c r="L98" s="33"/>
      <c r="M98" s="29"/>
      <c r="N98" s="26"/>
      <c r="O98" s="26"/>
      <c r="P98" s="26"/>
      <c r="Q98" s="26"/>
      <c r="R98" s="26"/>
      <c r="S98" s="27"/>
      <c r="T98" s="34"/>
      <c r="U98" s="11"/>
      <c r="V98" s="11"/>
      <c r="W98" s="11"/>
      <c r="X98" s="11"/>
    </row>
    <row r="99" spans="3:24" x14ac:dyDescent="0.35">
      <c r="C99" s="284"/>
      <c r="D99" s="6" t="s">
        <v>51</v>
      </c>
      <c r="E99" s="6"/>
      <c r="F99" s="6"/>
      <c r="G99" s="6" t="s">
        <v>53</v>
      </c>
      <c r="H99" s="25"/>
      <c r="I99" s="25"/>
      <c r="J99" s="25"/>
      <c r="K99" s="25"/>
      <c r="L99" s="25"/>
      <c r="M99" s="30"/>
      <c r="N99" s="25"/>
      <c r="O99" s="10">
        <f>H98*H99</f>
        <v>0</v>
      </c>
      <c r="P99" s="10">
        <f t="shared" ref="P99:S99" si="83">I98*I99</f>
        <v>0</v>
      </c>
      <c r="Q99" s="10">
        <f t="shared" si="83"/>
        <v>0</v>
      </c>
      <c r="R99" s="10">
        <f t="shared" si="83"/>
        <v>0</v>
      </c>
      <c r="S99" s="10">
        <f t="shared" si="83"/>
        <v>0</v>
      </c>
      <c r="T99" s="21">
        <f t="shared" ref="T99" si="84">SUM(O99:S99)</f>
        <v>0</v>
      </c>
      <c r="U99" s="11"/>
      <c r="V99" s="11"/>
      <c r="W99" s="11"/>
      <c r="X99" s="11"/>
    </row>
    <row r="100" spans="3:24" ht="15" thickBot="1" x14ac:dyDescent="0.4">
      <c r="C100" s="285"/>
      <c r="D100" s="17" t="s">
        <v>61</v>
      </c>
      <c r="E100" s="17"/>
      <c r="F100" s="17"/>
      <c r="G100" s="17" t="s">
        <v>54</v>
      </c>
      <c r="H100" s="28"/>
      <c r="I100" s="28"/>
      <c r="J100" s="28"/>
      <c r="K100" s="28"/>
      <c r="L100" s="28"/>
      <c r="M100" s="31"/>
      <c r="N100" s="28"/>
      <c r="O100" s="18">
        <f>H98*H100</f>
        <v>0</v>
      </c>
      <c r="P100" s="18">
        <f t="shared" ref="P100:S100" si="85">I98*I100</f>
        <v>0</v>
      </c>
      <c r="Q100" s="18">
        <f t="shared" si="85"/>
        <v>0</v>
      </c>
      <c r="R100" s="18">
        <f t="shared" si="85"/>
        <v>0</v>
      </c>
      <c r="S100" s="23">
        <f t="shared" si="85"/>
        <v>0</v>
      </c>
      <c r="T100" s="22">
        <f t="shared" ref="T100" si="86">SUM(O100:S100)</f>
        <v>0</v>
      </c>
      <c r="U100" s="11"/>
      <c r="V100" s="11"/>
      <c r="W100" s="11"/>
      <c r="X100" s="11"/>
    </row>
    <row r="101" spans="3:24" ht="15" thickBot="1" x14ac:dyDescent="0.4">
      <c r="C101" s="8"/>
      <c r="D101" s="7"/>
      <c r="E101" s="7"/>
      <c r="F101" s="7"/>
      <c r="G101" s="7"/>
      <c r="H101" s="13"/>
      <c r="I101" s="13"/>
      <c r="J101" s="14"/>
      <c r="K101" s="14"/>
      <c r="L101" s="14"/>
      <c r="M101" s="11"/>
      <c r="N101" s="11"/>
      <c r="O101" s="11"/>
      <c r="P101" s="11"/>
      <c r="Q101" s="11"/>
      <c r="R101" s="11"/>
      <c r="S101" s="11"/>
      <c r="T101" s="24"/>
      <c r="U101" s="11"/>
      <c r="V101" s="11"/>
      <c r="W101" s="11"/>
      <c r="X101" s="11"/>
    </row>
    <row r="102" spans="3:24" ht="15" thickBot="1" x14ac:dyDescent="0.4">
      <c r="L102" s="87"/>
      <c r="M102" s="88"/>
      <c r="N102" s="89" t="s">
        <v>102</v>
      </c>
      <c r="O102" s="35">
        <f>O100</f>
        <v>0</v>
      </c>
      <c r="P102" s="35">
        <f t="shared" ref="P102:S102" si="87">P100</f>
        <v>0</v>
      </c>
      <c r="Q102" s="35">
        <f t="shared" si="87"/>
        <v>0</v>
      </c>
      <c r="R102" s="35">
        <f t="shared" si="87"/>
        <v>0</v>
      </c>
      <c r="S102" s="35">
        <f t="shared" si="87"/>
        <v>0</v>
      </c>
      <c r="T102" s="15">
        <f>SUM(O102:S102)</f>
        <v>0</v>
      </c>
      <c r="U102" s="11"/>
      <c r="V102" s="11"/>
      <c r="W102" s="11"/>
      <c r="X102" s="11"/>
    </row>
    <row r="103" spans="3:24" ht="15" thickBot="1" x14ac:dyDescent="0.4">
      <c r="U103" s="11"/>
      <c r="V103" s="11"/>
      <c r="W103" s="11"/>
      <c r="X103" s="11"/>
    </row>
    <row r="104" spans="3:24" ht="44.5" thickTop="1" thickBot="1" x14ac:dyDescent="0.4">
      <c r="C104" s="106"/>
      <c r="D104" s="112" t="s">
        <v>103</v>
      </c>
      <c r="E104" s="107"/>
      <c r="F104" s="107"/>
      <c r="G104" s="107"/>
      <c r="H104" s="107"/>
      <c r="I104" s="107"/>
      <c r="J104" s="107"/>
      <c r="K104" s="107"/>
      <c r="L104" s="107"/>
      <c r="M104" s="107"/>
      <c r="N104" s="108"/>
      <c r="O104" s="19" t="s">
        <v>64</v>
      </c>
      <c r="P104" s="19" t="s">
        <v>39</v>
      </c>
      <c r="Q104" s="19" t="s">
        <v>65</v>
      </c>
      <c r="R104" s="19" t="s">
        <v>66</v>
      </c>
      <c r="S104" s="44" t="s">
        <v>67</v>
      </c>
      <c r="T104" s="20" t="s">
        <v>84</v>
      </c>
      <c r="U104" s="11"/>
      <c r="V104" s="11"/>
      <c r="W104" s="11"/>
      <c r="X104" s="11"/>
    </row>
    <row r="105" spans="3:24" s="45" customFormat="1" ht="15" thickBot="1" x14ac:dyDescent="0.4">
      <c r="C105" s="109"/>
      <c r="D105" s="110"/>
      <c r="E105" s="110"/>
      <c r="F105" s="110"/>
      <c r="G105" s="110"/>
      <c r="H105" s="110"/>
      <c r="I105" s="110"/>
      <c r="J105" s="110"/>
      <c r="K105" s="110"/>
      <c r="L105" s="110"/>
      <c r="M105" s="110"/>
      <c r="N105" s="111"/>
      <c r="O105" s="83">
        <f>O90+O102</f>
        <v>0</v>
      </c>
      <c r="P105" s="84">
        <f>P90+P102</f>
        <v>112000</v>
      </c>
      <c r="Q105" s="84">
        <f>Q90+Q102</f>
        <v>563000</v>
      </c>
      <c r="R105" s="84">
        <f>R90+R102</f>
        <v>624000</v>
      </c>
      <c r="S105" s="85">
        <f>S90+S102</f>
        <v>624000</v>
      </c>
      <c r="T105" s="61">
        <f>S105</f>
        <v>624000</v>
      </c>
      <c r="U105" s="11"/>
      <c r="V105" s="11"/>
      <c r="W105" s="11"/>
      <c r="X105" s="11"/>
    </row>
    <row r="106" spans="3:24" x14ac:dyDescent="0.35">
      <c r="Q106" s="282"/>
      <c r="R106" s="282"/>
      <c r="S106" s="113"/>
      <c r="U106" s="11"/>
      <c r="V106" s="11"/>
      <c r="W106" s="11"/>
      <c r="X106" s="11"/>
    </row>
    <row r="107" spans="3:24" x14ac:dyDescent="0.35">
      <c r="Q107" s="283"/>
      <c r="R107" s="283"/>
      <c r="S107" s="113"/>
      <c r="U107" s="11"/>
      <c r="V107" s="11"/>
      <c r="W107" s="11"/>
      <c r="X107" s="11"/>
    </row>
    <row r="108" spans="3:24" x14ac:dyDescent="0.35">
      <c r="U108" s="11"/>
      <c r="V108" s="11"/>
      <c r="W108" s="11"/>
      <c r="X108" s="11"/>
    </row>
    <row r="109" spans="3:24" x14ac:dyDescent="0.35">
      <c r="U109" s="11"/>
      <c r="V109" s="11"/>
      <c r="W109" s="11"/>
      <c r="X109" s="11"/>
    </row>
    <row r="110" spans="3:24" x14ac:dyDescent="0.35">
      <c r="U110" s="11"/>
      <c r="V110" s="11"/>
      <c r="W110" s="11"/>
      <c r="X110" s="11"/>
    </row>
    <row r="111" spans="3:24" x14ac:dyDescent="0.35">
      <c r="U111" s="11"/>
      <c r="V111" s="11"/>
      <c r="W111" s="11"/>
      <c r="X111" s="11"/>
    </row>
    <row r="112" spans="3:24" x14ac:dyDescent="0.35">
      <c r="U112" s="11"/>
      <c r="V112" s="11"/>
      <c r="W112" s="11"/>
      <c r="X112" s="11"/>
    </row>
    <row r="113" spans="21:24" x14ac:dyDescent="0.35">
      <c r="U113" s="11"/>
      <c r="V113" s="11"/>
      <c r="W113" s="11"/>
      <c r="X113" s="11"/>
    </row>
    <row r="114" spans="21:24" x14ac:dyDescent="0.35">
      <c r="U114" s="11"/>
      <c r="V114" s="11"/>
      <c r="W114" s="11"/>
      <c r="X114" s="11"/>
    </row>
  </sheetData>
  <mergeCells count="8">
    <mergeCell ref="Q106:R107"/>
    <mergeCell ref="C87:C88"/>
    <mergeCell ref="C98:C100"/>
    <mergeCell ref="C19:C35"/>
    <mergeCell ref="C5:C14"/>
    <mergeCell ref="C41:C52"/>
    <mergeCell ref="C71:C76"/>
    <mergeCell ref="C59:C65"/>
  </mergeCells>
  <phoneticPr fontId="8" type="noConversion"/>
  <pageMargins left="0.7" right="0.7" top="0.75" bottom="0.75" header="0.3" footer="0.3"/>
  <pageSetup paperSize="8" scale="5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24308-7620-407A-B45D-ABAE03CAF390}">
  <dimension ref="B1:X106"/>
  <sheetViews>
    <sheetView topLeftCell="D64" zoomScale="80" zoomScaleNormal="80" workbookViewId="0">
      <selection activeCell="D86" sqref="D86:D87"/>
    </sheetView>
  </sheetViews>
  <sheetFormatPr defaultColWidth="11.453125" defaultRowHeight="14.5" x14ac:dyDescent="0.35"/>
  <cols>
    <col min="1" max="1" width="4" style="1" customWidth="1"/>
    <col min="2" max="2" width="6.36328125" style="1" customWidth="1"/>
    <col min="3" max="3" width="17.6328125" style="1" customWidth="1"/>
    <col min="4" max="4" width="47.81640625" style="1" customWidth="1"/>
    <col min="5" max="5" width="10" style="1" customWidth="1"/>
    <col min="6" max="6" width="11" style="1" customWidth="1"/>
    <col min="7" max="7" width="21.6328125" style="1" customWidth="1"/>
    <col min="8" max="8" width="7.453125" style="1" customWidth="1"/>
    <col min="9" max="12" width="7.36328125" style="1" customWidth="1"/>
    <col min="13" max="13" width="14.36328125" style="1" customWidth="1"/>
    <col min="14" max="14" width="13.453125" style="1" customWidth="1"/>
    <col min="15" max="24" width="12.81640625" style="1" customWidth="1"/>
    <col min="25" max="16384" width="11.453125" style="1"/>
  </cols>
  <sheetData>
    <row r="1" spans="2:24" x14ac:dyDescent="0.35">
      <c r="C1" s="9"/>
      <c r="D1" s="9"/>
      <c r="E1" s="9"/>
      <c r="F1" s="9"/>
      <c r="G1" s="9"/>
      <c r="H1" s="9"/>
      <c r="I1" s="9"/>
      <c r="J1" s="9"/>
      <c r="K1" s="9"/>
      <c r="L1" s="9"/>
      <c r="M1" s="9"/>
      <c r="N1" s="9"/>
      <c r="O1" s="3"/>
      <c r="P1" s="3"/>
      <c r="Q1" s="3"/>
      <c r="R1" s="3"/>
      <c r="S1" s="3"/>
      <c r="T1" s="12"/>
      <c r="U1" s="12"/>
      <c r="V1" s="12"/>
      <c r="W1" s="12"/>
      <c r="X1" s="12"/>
    </row>
    <row r="3" spans="2:24" ht="15" thickBot="1" x14ac:dyDescent="0.4">
      <c r="H3" s="53" t="s">
        <v>87</v>
      </c>
      <c r="I3" s="50"/>
      <c r="J3" s="50"/>
      <c r="K3" s="50"/>
      <c r="L3" s="50"/>
      <c r="M3" s="54"/>
      <c r="N3" s="55"/>
      <c r="O3" s="58" t="s">
        <v>86</v>
      </c>
      <c r="P3" s="58" t="s">
        <v>86</v>
      </c>
      <c r="Q3" s="58" t="s">
        <v>86</v>
      </c>
      <c r="R3" s="58" t="s">
        <v>86</v>
      </c>
      <c r="S3" s="58" t="s">
        <v>86</v>
      </c>
      <c r="T3" s="58" t="s">
        <v>86</v>
      </c>
      <c r="U3" s="146" t="s">
        <v>85</v>
      </c>
      <c r="V3" s="146" t="s">
        <v>264</v>
      </c>
      <c r="W3" s="146" t="s">
        <v>265</v>
      </c>
      <c r="X3" s="146" t="s">
        <v>108</v>
      </c>
    </row>
    <row r="4" spans="2:24" s="71" customFormat="1" ht="43.5" x14ac:dyDescent="0.35">
      <c r="C4" s="75" t="s">
        <v>90</v>
      </c>
      <c r="D4" s="74" t="s">
        <v>7</v>
      </c>
      <c r="E4" s="74" t="str">
        <f>E19</f>
        <v>Fin.
AFD, EU, GCF, GVNT</v>
      </c>
      <c r="F4" s="74" t="str">
        <f>F19</f>
        <v>Durée de vie (an)</v>
      </c>
      <c r="G4" s="74" t="s">
        <v>26</v>
      </c>
      <c r="H4" s="72">
        <v>2021</v>
      </c>
      <c r="I4" s="72">
        <v>2022</v>
      </c>
      <c r="J4" s="72">
        <v>2023</v>
      </c>
      <c r="K4" s="72">
        <v>2024</v>
      </c>
      <c r="L4" s="72">
        <v>2025</v>
      </c>
      <c r="M4" s="69" t="s">
        <v>36</v>
      </c>
      <c r="N4" s="62" t="s">
        <v>37</v>
      </c>
      <c r="O4" s="73" t="s">
        <v>9</v>
      </c>
      <c r="P4" s="73" t="s">
        <v>10</v>
      </c>
      <c r="Q4" s="73" t="s">
        <v>11</v>
      </c>
      <c r="R4" s="73" t="s">
        <v>12</v>
      </c>
      <c r="S4" s="73" t="s">
        <v>39</v>
      </c>
      <c r="T4" s="151" t="s">
        <v>8</v>
      </c>
      <c r="U4" s="160"/>
      <c r="V4" s="161"/>
      <c r="W4" s="161"/>
      <c r="X4" s="162"/>
    </row>
    <row r="5" spans="2:24" x14ac:dyDescent="0.35">
      <c r="B5" s="1" t="s">
        <v>179</v>
      </c>
      <c r="C5" s="218"/>
      <c r="D5" s="65" t="s">
        <v>306</v>
      </c>
      <c r="E5" s="76" t="s">
        <v>265</v>
      </c>
      <c r="F5" s="66"/>
      <c r="G5" s="65" t="s">
        <v>32</v>
      </c>
      <c r="H5" s="51">
        <v>1</v>
      </c>
      <c r="I5" s="51"/>
      <c r="J5" s="51"/>
      <c r="K5" s="51"/>
      <c r="L5" s="51"/>
      <c r="M5" s="56">
        <f t="shared" ref="M5" si="0">SUM(H5:K5)</f>
        <v>1</v>
      </c>
      <c r="N5" s="63">
        <v>10000</v>
      </c>
      <c r="O5" s="48">
        <f t="shared" ref="O5:S6" si="1">H5*$N5</f>
        <v>10000</v>
      </c>
      <c r="P5" s="48">
        <f t="shared" si="1"/>
        <v>0</v>
      </c>
      <c r="Q5" s="48">
        <f t="shared" si="1"/>
        <v>0</v>
      </c>
      <c r="R5" s="48">
        <f t="shared" si="1"/>
        <v>0</v>
      </c>
      <c r="S5" s="48">
        <f t="shared" si="1"/>
        <v>0</v>
      </c>
      <c r="T5" s="140">
        <f t="shared" ref="T5" si="2">SUM(O5:S5)</f>
        <v>10000</v>
      </c>
      <c r="U5" s="155">
        <f>IF($E5=U$2,$T5,0)</f>
        <v>0</v>
      </c>
      <c r="V5" s="148">
        <f t="shared" ref="V5:X5" si="3">IF($E5=V$2,$T5,0)</f>
        <v>0</v>
      </c>
      <c r="W5" s="148">
        <f>IF($E5=W$3,$T5,0)</f>
        <v>10000</v>
      </c>
      <c r="X5" s="156">
        <f t="shared" si="3"/>
        <v>0</v>
      </c>
    </row>
    <row r="6" spans="2:24" x14ac:dyDescent="0.35">
      <c r="B6" s="1" t="s">
        <v>179</v>
      </c>
      <c r="C6" s="284"/>
      <c r="D6" s="65" t="s">
        <v>176</v>
      </c>
      <c r="E6" s="65" t="s">
        <v>265</v>
      </c>
      <c r="F6" s="66"/>
      <c r="G6" s="65" t="s">
        <v>32</v>
      </c>
      <c r="H6" s="51">
        <v>1</v>
      </c>
      <c r="I6" s="51"/>
      <c r="J6" s="51"/>
      <c r="K6" s="51"/>
      <c r="L6" s="51"/>
      <c r="M6" s="56">
        <f t="shared" ref="M6:M9" si="4">SUM(H6:K6)</f>
        <v>1</v>
      </c>
      <c r="N6" s="63">
        <v>140000</v>
      </c>
      <c r="O6" s="48">
        <f t="shared" si="1"/>
        <v>140000</v>
      </c>
      <c r="P6" s="48">
        <f t="shared" si="1"/>
        <v>0</v>
      </c>
      <c r="Q6" s="48">
        <f t="shared" si="1"/>
        <v>0</v>
      </c>
      <c r="R6" s="48">
        <f t="shared" si="1"/>
        <v>0</v>
      </c>
      <c r="S6" s="48">
        <f t="shared" si="1"/>
        <v>0</v>
      </c>
      <c r="T6" s="140">
        <f t="shared" ref="T6:T15" si="5">SUM(O6:S6)</f>
        <v>140000</v>
      </c>
      <c r="U6" s="155">
        <f>IF($E6=U$3,$T6,0)</f>
        <v>0</v>
      </c>
      <c r="V6" s="148">
        <f t="shared" ref="V6:X15" si="6">IF($E6=V$3,$T6,0)</f>
        <v>0</v>
      </c>
      <c r="W6" s="148">
        <f>IF($E6=W$3,$T6,0)</f>
        <v>140000</v>
      </c>
      <c r="X6" s="156">
        <f t="shared" si="6"/>
        <v>0</v>
      </c>
    </row>
    <row r="7" spans="2:24" x14ac:dyDescent="0.35">
      <c r="B7" s="1" t="s">
        <v>173</v>
      </c>
      <c r="C7" s="284"/>
      <c r="D7" s="65" t="s">
        <v>19</v>
      </c>
      <c r="E7" s="65" t="s">
        <v>265</v>
      </c>
      <c r="F7" s="66"/>
      <c r="G7" s="65" t="s">
        <v>32</v>
      </c>
      <c r="H7" s="126"/>
      <c r="I7" s="127"/>
      <c r="J7" s="127"/>
      <c r="K7" s="127"/>
      <c r="L7" s="127"/>
      <c r="M7" s="127"/>
      <c r="N7" s="118">
        <v>0.05</v>
      </c>
      <c r="O7" s="48">
        <f>ROUND($N7*O55,-3)</f>
        <v>40000</v>
      </c>
      <c r="P7" s="48">
        <f t="shared" ref="P7:S7" si="7">ROUND($N7*P55,-3)</f>
        <v>98000</v>
      </c>
      <c r="Q7" s="48">
        <f t="shared" si="7"/>
        <v>8000</v>
      </c>
      <c r="R7" s="48">
        <f t="shared" si="7"/>
        <v>0</v>
      </c>
      <c r="S7" s="48">
        <f t="shared" si="7"/>
        <v>0</v>
      </c>
      <c r="T7" s="140">
        <f t="shared" si="5"/>
        <v>146000</v>
      </c>
      <c r="U7" s="155">
        <f t="shared" ref="U7:U15" si="8">IF($E7=U$3,$T7,0)</f>
        <v>0</v>
      </c>
      <c r="V7" s="148">
        <f t="shared" si="6"/>
        <v>0</v>
      </c>
      <c r="W7" s="148">
        <f t="shared" si="6"/>
        <v>146000</v>
      </c>
      <c r="X7" s="156">
        <f t="shared" si="6"/>
        <v>0</v>
      </c>
    </row>
    <row r="8" spans="2:24" x14ac:dyDescent="0.35">
      <c r="B8" s="1" t="s">
        <v>173</v>
      </c>
      <c r="C8" s="284"/>
      <c r="D8" s="65" t="s">
        <v>20</v>
      </c>
      <c r="E8" s="65" t="s">
        <v>265</v>
      </c>
      <c r="F8" s="66"/>
      <c r="G8" s="65" t="s">
        <v>32</v>
      </c>
      <c r="H8" s="126"/>
      <c r="I8" s="127"/>
      <c r="J8" s="127"/>
      <c r="K8" s="127"/>
      <c r="L8" s="127"/>
      <c r="M8" s="127"/>
      <c r="N8" s="118">
        <v>0.05</v>
      </c>
      <c r="O8" s="48">
        <f>ROUND($N8*O38,-3)</f>
        <v>27000</v>
      </c>
      <c r="P8" s="48">
        <f t="shared" ref="P8:S8" si="9">ROUND($N8*P38,-3)</f>
        <v>190000</v>
      </c>
      <c r="Q8" s="48">
        <f t="shared" si="9"/>
        <v>20000</v>
      </c>
      <c r="R8" s="48">
        <f t="shared" si="9"/>
        <v>11000</v>
      </c>
      <c r="S8" s="48">
        <f t="shared" si="9"/>
        <v>11000</v>
      </c>
      <c r="T8" s="140">
        <f t="shared" si="5"/>
        <v>259000</v>
      </c>
      <c r="U8" s="155">
        <f t="shared" si="8"/>
        <v>0</v>
      </c>
      <c r="V8" s="148">
        <f t="shared" si="6"/>
        <v>0</v>
      </c>
      <c r="W8" s="148">
        <f t="shared" si="6"/>
        <v>259000</v>
      </c>
      <c r="X8" s="156">
        <f t="shared" si="6"/>
        <v>0</v>
      </c>
    </row>
    <row r="9" spans="2:24" ht="29" x14ac:dyDescent="0.35">
      <c r="B9" s="1" t="s">
        <v>180</v>
      </c>
      <c r="C9" s="284"/>
      <c r="D9" s="65" t="s">
        <v>175</v>
      </c>
      <c r="E9" s="65" t="s">
        <v>265</v>
      </c>
      <c r="F9" s="66"/>
      <c r="G9" s="65" t="s">
        <v>32</v>
      </c>
      <c r="H9" s="51">
        <v>1</v>
      </c>
      <c r="I9" s="51"/>
      <c r="J9" s="51"/>
      <c r="K9" s="51"/>
      <c r="L9" s="51"/>
      <c r="M9" s="56">
        <f t="shared" si="4"/>
        <v>1</v>
      </c>
      <c r="N9" s="63">
        <v>100000</v>
      </c>
      <c r="O9" s="48">
        <f t="shared" ref="O9:S12" si="10">H9*$N9</f>
        <v>100000</v>
      </c>
      <c r="P9" s="48">
        <f t="shared" si="10"/>
        <v>0</v>
      </c>
      <c r="Q9" s="48">
        <f t="shared" si="10"/>
        <v>0</v>
      </c>
      <c r="R9" s="48">
        <f t="shared" si="10"/>
        <v>0</v>
      </c>
      <c r="S9" s="48">
        <f t="shared" si="10"/>
        <v>0</v>
      </c>
      <c r="T9" s="140">
        <f t="shared" si="5"/>
        <v>100000</v>
      </c>
      <c r="U9" s="155">
        <f t="shared" si="8"/>
        <v>0</v>
      </c>
      <c r="V9" s="148">
        <f t="shared" si="6"/>
        <v>0</v>
      </c>
      <c r="W9" s="148">
        <f t="shared" si="6"/>
        <v>100000</v>
      </c>
      <c r="X9" s="156">
        <f t="shared" si="6"/>
        <v>0</v>
      </c>
    </row>
    <row r="10" spans="2:24" x14ac:dyDescent="0.35">
      <c r="B10" s="1" t="s">
        <v>181</v>
      </c>
      <c r="C10" s="284"/>
      <c r="D10" s="76" t="s">
        <v>177</v>
      </c>
      <c r="E10" s="65" t="s">
        <v>265</v>
      </c>
      <c r="F10" s="77"/>
      <c r="G10" s="65" t="s">
        <v>32</v>
      </c>
      <c r="H10" s="51"/>
      <c r="I10" s="51">
        <v>1</v>
      </c>
      <c r="J10" s="51"/>
      <c r="K10" s="51"/>
      <c r="L10" s="51"/>
      <c r="M10" s="56">
        <f>SUM(H10:L10)</f>
        <v>1</v>
      </c>
      <c r="N10" s="80">
        <v>50000</v>
      </c>
      <c r="O10" s="81">
        <f t="shared" si="10"/>
        <v>0</v>
      </c>
      <c r="P10" s="81">
        <f t="shared" si="10"/>
        <v>50000</v>
      </c>
      <c r="Q10" s="81">
        <f t="shared" si="10"/>
        <v>0</v>
      </c>
      <c r="R10" s="81">
        <f t="shared" si="10"/>
        <v>0</v>
      </c>
      <c r="S10" s="81">
        <f t="shared" si="10"/>
        <v>0</v>
      </c>
      <c r="T10" s="143">
        <f t="shared" si="5"/>
        <v>50000</v>
      </c>
      <c r="U10" s="155">
        <f t="shared" si="8"/>
        <v>0</v>
      </c>
      <c r="V10" s="148">
        <f t="shared" si="6"/>
        <v>0</v>
      </c>
      <c r="W10" s="148">
        <f t="shared" si="6"/>
        <v>50000</v>
      </c>
      <c r="X10" s="156">
        <f t="shared" si="6"/>
        <v>0</v>
      </c>
    </row>
    <row r="11" spans="2:24" x14ac:dyDescent="0.35">
      <c r="B11" s="1" t="s">
        <v>182</v>
      </c>
      <c r="C11" s="284"/>
      <c r="D11" s="65" t="s">
        <v>178</v>
      </c>
      <c r="E11" s="65" t="s">
        <v>265</v>
      </c>
      <c r="F11" s="66"/>
      <c r="G11" s="65" t="s">
        <v>32</v>
      </c>
      <c r="H11" s="51"/>
      <c r="I11" s="51"/>
      <c r="J11" s="51">
        <v>1</v>
      </c>
      <c r="K11" s="51"/>
      <c r="L11" s="51"/>
      <c r="M11" s="56">
        <f t="shared" ref="M11" si="11">SUM(H11:K11)</f>
        <v>1</v>
      </c>
      <c r="N11" s="63">
        <v>50000</v>
      </c>
      <c r="O11" s="48">
        <f t="shared" si="10"/>
        <v>0</v>
      </c>
      <c r="P11" s="48">
        <f t="shared" si="10"/>
        <v>0</v>
      </c>
      <c r="Q11" s="48">
        <f t="shared" si="10"/>
        <v>50000</v>
      </c>
      <c r="R11" s="48">
        <f t="shared" si="10"/>
        <v>0</v>
      </c>
      <c r="S11" s="48">
        <f t="shared" si="10"/>
        <v>0</v>
      </c>
      <c r="T11" s="140">
        <f t="shared" si="5"/>
        <v>50000</v>
      </c>
      <c r="U11" s="155">
        <f t="shared" si="8"/>
        <v>0</v>
      </c>
      <c r="V11" s="148">
        <f t="shared" si="6"/>
        <v>0</v>
      </c>
      <c r="W11" s="148">
        <f t="shared" si="6"/>
        <v>50000</v>
      </c>
      <c r="X11" s="156">
        <f t="shared" si="6"/>
        <v>0</v>
      </c>
    </row>
    <row r="12" spans="2:24" x14ac:dyDescent="0.35">
      <c r="B12" s="1" t="s">
        <v>183</v>
      </c>
      <c r="C12" s="284"/>
      <c r="D12" s="76" t="s">
        <v>184</v>
      </c>
      <c r="E12" s="65" t="s">
        <v>265</v>
      </c>
      <c r="F12" s="77"/>
      <c r="G12" s="65" t="s">
        <v>32</v>
      </c>
      <c r="H12" s="51"/>
      <c r="I12" s="51">
        <v>1</v>
      </c>
      <c r="J12" s="51"/>
      <c r="K12" s="51"/>
      <c r="L12" s="51"/>
      <c r="M12" s="56">
        <f>SUM(H12:L12)</f>
        <v>1</v>
      </c>
      <c r="N12" s="80">
        <v>100000</v>
      </c>
      <c r="O12" s="81">
        <f t="shared" si="10"/>
        <v>0</v>
      </c>
      <c r="P12" s="81">
        <f t="shared" si="10"/>
        <v>100000</v>
      </c>
      <c r="Q12" s="81">
        <f t="shared" si="10"/>
        <v>0</v>
      </c>
      <c r="R12" s="81">
        <f t="shared" si="10"/>
        <v>0</v>
      </c>
      <c r="S12" s="81">
        <f t="shared" si="10"/>
        <v>0</v>
      </c>
      <c r="T12" s="143">
        <f t="shared" si="5"/>
        <v>100000</v>
      </c>
      <c r="U12" s="155">
        <f t="shared" si="8"/>
        <v>0</v>
      </c>
      <c r="V12" s="148">
        <f t="shared" si="6"/>
        <v>0</v>
      </c>
      <c r="W12" s="148">
        <f t="shared" si="6"/>
        <v>100000</v>
      </c>
      <c r="X12" s="156">
        <f t="shared" si="6"/>
        <v>0</v>
      </c>
    </row>
    <row r="13" spans="2:24" x14ac:dyDescent="0.35">
      <c r="B13" s="1" t="s">
        <v>183</v>
      </c>
      <c r="C13" s="284"/>
      <c r="D13" s="76" t="s">
        <v>216</v>
      </c>
      <c r="E13" s="65" t="s">
        <v>265</v>
      </c>
      <c r="F13" s="77"/>
      <c r="G13" s="65" t="s">
        <v>32</v>
      </c>
      <c r="H13" s="51"/>
      <c r="I13" s="51">
        <v>1</v>
      </c>
      <c r="J13" s="51"/>
      <c r="K13" s="51"/>
      <c r="L13" s="51"/>
      <c r="M13" s="56">
        <f>SUM(H13:L13)</f>
        <v>1</v>
      </c>
      <c r="N13" s="80">
        <v>50000</v>
      </c>
      <c r="O13" s="81">
        <f t="shared" ref="O13" si="12">H13*$N13</f>
        <v>0</v>
      </c>
      <c r="P13" s="81">
        <f t="shared" ref="P13" si="13">I13*$N13</f>
        <v>50000</v>
      </c>
      <c r="Q13" s="81">
        <f t="shared" ref="Q13" si="14">J13*$N13</f>
        <v>0</v>
      </c>
      <c r="R13" s="81">
        <f t="shared" ref="R13" si="15">K13*$N13</f>
        <v>0</v>
      </c>
      <c r="S13" s="81">
        <f t="shared" ref="S13" si="16">L13*$N13</f>
        <v>0</v>
      </c>
      <c r="T13" s="143">
        <f t="shared" ref="T13" si="17">SUM(O13:S13)</f>
        <v>50000</v>
      </c>
      <c r="U13" s="155">
        <f t="shared" si="8"/>
        <v>0</v>
      </c>
      <c r="V13" s="148">
        <f t="shared" si="6"/>
        <v>0</v>
      </c>
      <c r="W13" s="148">
        <f t="shared" si="6"/>
        <v>50000</v>
      </c>
      <c r="X13" s="156">
        <f t="shared" si="6"/>
        <v>0</v>
      </c>
    </row>
    <row r="14" spans="2:24" ht="29" x14ac:dyDescent="0.35">
      <c r="B14" s="1" t="s">
        <v>172</v>
      </c>
      <c r="C14" s="284"/>
      <c r="D14" s="76" t="s">
        <v>70</v>
      </c>
      <c r="E14" s="65" t="s">
        <v>265</v>
      </c>
      <c r="F14" s="77"/>
      <c r="G14" s="76" t="s">
        <v>1</v>
      </c>
      <c r="H14" s="51">
        <v>3</v>
      </c>
      <c r="I14" s="51">
        <v>3</v>
      </c>
      <c r="J14" s="51">
        <v>3</v>
      </c>
      <c r="K14" s="51">
        <v>3</v>
      </c>
      <c r="L14" s="51">
        <v>3</v>
      </c>
      <c r="M14" s="56">
        <f>SUM(H14:L14)</f>
        <v>15</v>
      </c>
      <c r="N14" s="80">
        <v>24000</v>
      </c>
      <c r="O14" s="81">
        <f t="shared" ref="O14:S15" si="18">H14*$N14</f>
        <v>72000</v>
      </c>
      <c r="P14" s="81">
        <f t="shared" si="18"/>
        <v>72000</v>
      </c>
      <c r="Q14" s="81">
        <f t="shared" si="18"/>
        <v>72000</v>
      </c>
      <c r="R14" s="81">
        <f t="shared" si="18"/>
        <v>72000</v>
      </c>
      <c r="S14" s="81">
        <f t="shared" si="18"/>
        <v>72000</v>
      </c>
      <c r="T14" s="143">
        <f t="shared" si="5"/>
        <v>360000</v>
      </c>
      <c r="U14" s="155">
        <f t="shared" si="8"/>
        <v>0</v>
      </c>
      <c r="V14" s="148">
        <f t="shared" si="6"/>
        <v>0</v>
      </c>
      <c r="W14" s="148">
        <f t="shared" si="6"/>
        <v>360000</v>
      </c>
      <c r="X14" s="156">
        <f t="shared" si="6"/>
        <v>0</v>
      </c>
    </row>
    <row r="15" spans="2:24" ht="48" customHeight="1" thickBot="1" x14ac:dyDescent="0.4">
      <c r="B15" s="1" t="s">
        <v>171</v>
      </c>
      <c r="C15" s="285"/>
      <c r="D15" s="67" t="s">
        <v>59</v>
      </c>
      <c r="E15" s="65" t="s">
        <v>265</v>
      </c>
      <c r="F15" s="68"/>
      <c r="G15" s="67" t="s">
        <v>1</v>
      </c>
      <c r="H15" s="52">
        <v>3</v>
      </c>
      <c r="I15" s="52">
        <v>3</v>
      </c>
      <c r="J15" s="52">
        <v>3</v>
      </c>
      <c r="K15" s="52">
        <v>3</v>
      </c>
      <c r="L15" s="52">
        <v>3</v>
      </c>
      <c r="M15" s="57">
        <f>SUM(H15:L15)</f>
        <v>15</v>
      </c>
      <c r="N15" s="64">
        <v>60000</v>
      </c>
      <c r="O15" s="49">
        <f t="shared" si="18"/>
        <v>180000</v>
      </c>
      <c r="P15" s="49">
        <f t="shared" si="18"/>
        <v>180000</v>
      </c>
      <c r="Q15" s="49">
        <f t="shared" si="18"/>
        <v>180000</v>
      </c>
      <c r="R15" s="49">
        <f t="shared" si="18"/>
        <v>180000</v>
      </c>
      <c r="S15" s="49">
        <f t="shared" si="18"/>
        <v>180000</v>
      </c>
      <c r="T15" s="141">
        <f t="shared" si="5"/>
        <v>900000</v>
      </c>
      <c r="U15" s="157">
        <f t="shared" si="8"/>
        <v>0</v>
      </c>
      <c r="V15" s="158">
        <f t="shared" si="6"/>
        <v>0</v>
      </c>
      <c r="W15" s="158">
        <f t="shared" si="6"/>
        <v>900000</v>
      </c>
      <c r="X15" s="159">
        <f t="shared" si="6"/>
        <v>0</v>
      </c>
    </row>
    <row r="16" spans="2:24" ht="15" thickBot="1" x14ac:dyDescent="0.4">
      <c r="C16" s="16"/>
      <c r="D16" s="9"/>
      <c r="E16" s="9"/>
      <c r="F16" s="9"/>
      <c r="G16" s="9"/>
      <c r="H16" s="9"/>
      <c r="I16" s="9"/>
      <c r="J16" s="5"/>
      <c r="K16" s="5"/>
      <c r="L16" s="5"/>
      <c r="M16" s="5"/>
      <c r="N16" s="4"/>
      <c r="O16" s="39"/>
      <c r="P16" s="39"/>
      <c r="Q16" s="40"/>
      <c r="R16" s="40"/>
      <c r="S16" s="40"/>
      <c r="T16" s="41"/>
      <c r="U16" s="41"/>
      <c r="V16" s="41"/>
      <c r="W16" s="41"/>
      <c r="X16" s="41"/>
    </row>
    <row r="17" spans="2:24" s="45" customFormat="1" ht="15" thickBot="1" x14ac:dyDescent="0.4">
      <c r="C17" s="47"/>
      <c r="D17" s="46"/>
      <c r="E17" s="46"/>
      <c r="F17" s="46"/>
      <c r="G17" s="46"/>
      <c r="H17" s="46"/>
      <c r="I17" s="46"/>
      <c r="J17" s="46"/>
      <c r="K17" s="46"/>
      <c r="L17" s="87"/>
      <c r="M17" s="88"/>
      <c r="N17" s="89" t="s">
        <v>96</v>
      </c>
      <c r="O17" s="83">
        <f>SUM(O5:O15)</f>
        <v>569000</v>
      </c>
      <c r="P17" s="83">
        <f t="shared" ref="P17:S17" si="19">SUM(P5:P15)</f>
        <v>740000</v>
      </c>
      <c r="Q17" s="83">
        <f t="shared" si="19"/>
        <v>330000</v>
      </c>
      <c r="R17" s="83">
        <f t="shared" si="19"/>
        <v>263000</v>
      </c>
      <c r="S17" s="83">
        <f t="shared" si="19"/>
        <v>263000</v>
      </c>
      <c r="T17" s="61">
        <f>SUM(O17:S17)</f>
        <v>2165000</v>
      </c>
      <c r="U17" s="147">
        <f>SUM(U5:U15)</f>
        <v>0</v>
      </c>
      <c r="V17" s="147">
        <f t="shared" ref="V17:X17" si="20">SUM(V5:V15)</f>
        <v>0</v>
      </c>
      <c r="W17" s="147">
        <f t="shared" si="20"/>
        <v>2165000</v>
      </c>
      <c r="X17" s="147">
        <f t="shared" si="20"/>
        <v>0</v>
      </c>
    </row>
    <row r="18" spans="2:24" s="2" customFormat="1" ht="15" thickBot="1" x14ac:dyDescent="0.4">
      <c r="C18" s="16"/>
      <c r="D18" s="9"/>
      <c r="E18" s="9"/>
      <c r="F18" s="9"/>
      <c r="G18" s="9"/>
      <c r="H18" s="9"/>
      <c r="I18" s="9"/>
      <c r="J18" s="5"/>
      <c r="K18" s="5"/>
      <c r="L18" s="5"/>
      <c r="M18" s="5"/>
      <c r="N18" s="4"/>
      <c r="O18" s="41"/>
      <c r="P18" s="41"/>
      <c r="Q18" s="41"/>
      <c r="R18" s="41"/>
      <c r="S18" s="41"/>
      <c r="T18" s="42"/>
      <c r="U18" s="42"/>
      <c r="V18" s="42"/>
      <c r="W18" s="42"/>
      <c r="X18" s="42"/>
    </row>
    <row r="19" spans="2:24" s="71" customFormat="1" ht="43.5" x14ac:dyDescent="0.35">
      <c r="C19" s="75" t="s">
        <v>91</v>
      </c>
      <c r="D19" s="74" t="s">
        <v>7</v>
      </c>
      <c r="E19" s="74" t="s">
        <v>88</v>
      </c>
      <c r="F19" s="74" t="s">
        <v>89</v>
      </c>
      <c r="G19" s="74" t="s">
        <v>26</v>
      </c>
      <c r="H19" s="72">
        <v>2021</v>
      </c>
      <c r="I19" s="72">
        <v>2022</v>
      </c>
      <c r="J19" s="72">
        <v>2023</v>
      </c>
      <c r="K19" s="72">
        <v>2024</v>
      </c>
      <c r="L19" s="72">
        <v>2025</v>
      </c>
      <c r="M19" s="69" t="s">
        <v>36</v>
      </c>
      <c r="N19" s="62" t="s">
        <v>37</v>
      </c>
      <c r="O19" s="73" t="s">
        <v>64</v>
      </c>
      <c r="P19" s="73" t="s">
        <v>39</v>
      </c>
      <c r="Q19" s="73" t="s">
        <v>65</v>
      </c>
      <c r="R19" s="73" t="s">
        <v>66</v>
      </c>
      <c r="S19" s="120" t="s">
        <v>67</v>
      </c>
      <c r="T19" s="151" t="s">
        <v>4</v>
      </c>
      <c r="U19" s="153"/>
      <c r="V19" s="145"/>
      <c r="W19" s="145"/>
      <c r="X19" s="154"/>
    </row>
    <row r="20" spans="2:24" s="45" customFormat="1" x14ac:dyDescent="0.35">
      <c r="B20" s="171" t="s">
        <v>164</v>
      </c>
      <c r="C20" s="286" t="s">
        <v>16</v>
      </c>
      <c r="D20" s="65" t="s">
        <v>68</v>
      </c>
      <c r="E20" s="65"/>
      <c r="F20" s="66"/>
      <c r="G20" s="65" t="s">
        <v>27</v>
      </c>
      <c r="H20" s="51"/>
      <c r="I20" s="51"/>
      <c r="J20" s="51"/>
      <c r="K20" s="51"/>
      <c r="L20" s="51"/>
      <c r="M20" s="56">
        <f>SUM(H20:K20)</f>
        <v>0</v>
      </c>
      <c r="N20" s="63">
        <v>60000</v>
      </c>
      <c r="O20" s="48">
        <f>H20*$N20</f>
        <v>0</v>
      </c>
      <c r="P20" s="48">
        <f>I20*$N20</f>
        <v>0</v>
      </c>
      <c r="Q20" s="48">
        <f>J20*$N20</f>
        <v>0</v>
      </c>
      <c r="R20" s="48">
        <f>K20*$N20</f>
        <v>0</v>
      </c>
      <c r="S20" s="121">
        <f>L20*$N20</f>
        <v>0</v>
      </c>
      <c r="T20" s="140">
        <f>SUM(O20:S20)</f>
        <v>0</v>
      </c>
      <c r="U20" s="155">
        <f>IF($E20=U$3,$T20,0)</f>
        <v>0</v>
      </c>
      <c r="V20" s="148">
        <f t="shared" ref="V20:X36" si="21">IF($E20=V$3,$T20,0)</f>
        <v>0</v>
      </c>
      <c r="W20" s="148">
        <f t="shared" si="21"/>
        <v>0</v>
      </c>
      <c r="X20" s="156">
        <f t="shared" si="21"/>
        <v>0</v>
      </c>
    </row>
    <row r="21" spans="2:24" s="45" customFormat="1" x14ac:dyDescent="0.35">
      <c r="B21" s="171" t="s">
        <v>164</v>
      </c>
      <c r="C21" s="286"/>
      <c r="D21" s="65" t="s">
        <v>106</v>
      </c>
      <c r="E21" s="65"/>
      <c r="F21" s="66"/>
      <c r="G21" s="65" t="s">
        <v>6</v>
      </c>
      <c r="H21" s="51"/>
      <c r="I21" s="51"/>
      <c r="J21" s="51"/>
      <c r="K21" s="51"/>
      <c r="L21" s="51"/>
      <c r="M21" s="56">
        <f>SUM(H21:K21)</f>
        <v>0</v>
      </c>
      <c r="N21" s="63">
        <v>500000</v>
      </c>
      <c r="O21" s="48">
        <f t="shared" ref="O21:S36" si="22">H21*$N21</f>
        <v>0</v>
      </c>
      <c r="P21" s="48">
        <f t="shared" si="22"/>
        <v>0</v>
      </c>
      <c r="Q21" s="48">
        <f t="shared" si="22"/>
        <v>0</v>
      </c>
      <c r="R21" s="48">
        <f t="shared" si="22"/>
        <v>0</v>
      </c>
      <c r="S21" s="121">
        <f t="shared" si="22"/>
        <v>0</v>
      </c>
      <c r="T21" s="140">
        <f t="shared" ref="T21:T36" si="23">SUM(O21:S21)</f>
        <v>0</v>
      </c>
      <c r="U21" s="155">
        <f t="shared" ref="U21:U36" si="24">IF($E21=U$3,$T21,0)</f>
        <v>0</v>
      </c>
      <c r="V21" s="148">
        <f t="shared" si="21"/>
        <v>0</v>
      </c>
      <c r="W21" s="148">
        <f t="shared" si="21"/>
        <v>0</v>
      </c>
      <c r="X21" s="156">
        <f t="shared" si="21"/>
        <v>0</v>
      </c>
    </row>
    <row r="22" spans="2:24" s="45" customFormat="1" x14ac:dyDescent="0.35">
      <c r="B22" s="171" t="s">
        <v>164</v>
      </c>
      <c r="C22" s="286"/>
      <c r="D22" s="65" t="s">
        <v>69</v>
      </c>
      <c r="E22" s="65" t="s">
        <v>265</v>
      </c>
      <c r="F22" s="66">
        <v>10</v>
      </c>
      <c r="G22" s="65" t="s">
        <v>27</v>
      </c>
      <c r="H22" s="51">
        <v>15</v>
      </c>
      <c r="I22" s="51">
        <v>15</v>
      </c>
      <c r="J22" s="51">
        <v>15</v>
      </c>
      <c r="K22" s="51">
        <v>15</v>
      </c>
      <c r="L22" s="51">
        <v>15</v>
      </c>
      <c r="M22" s="56">
        <f>SUM(H22:L22)</f>
        <v>75</v>
      </c>
      <c r="N22" s="63">
        <v>15000</v>
      </c>
      <c r="O22" s="48">
        <f t="shared" si="22"/>
        <v>225000</v>
      </c>
      <c r="P22" s="48">
        <f t="shared" si="22"/>
        <v>225000</v>
      </c>
      <c r="Q22" s="48">
        <f t="shared" si="22"/>
        <v>225000</v>
      </c>
      <c r="R22" s="48">
        <f t="shared" si="22"/>
        <v>225000</v>
      </c>
      <c r="S22" s="121">
        <f t="shared" si="22"/>
        <v>225000</v>
      </c>
      <c r="T22" s="140">
        <f t="shared" si="23"/>
        <v>1125000</v>
      </c>
      <c r="U22" s="155">
        <f t="shared" si="24"/>
        <v>0</v>
      </c>
      <c r="V22" s="148">
        <f t="shared" si="21"/>
        <v>0</v>
      </c>
      <c r="W22" s="148">
        <f t="shared" si="21"/>
        <v>1125000</v>
      </c>
      <c r="X22" s="156">
        <f t="shared" si="21"/>
        <v>0</v>
      </c>
    </row>
    <row r="23" spans="2:24" s="45" customFormat="1" x14ac:dyDescent="0.35">
      <c r="B23" s="171" t="s">
        <v>164</v>
      </c>
      <c r="C23" s="286"/>
      <c r="D23" s="65" t="s">
        <v>124</v>
      </c>
      <c r="E23" s="65" t="s">
        <v>265</v>
      </c>
      <c r="F23" s="66">
        <v>10</v>
      </c>
      <c r="G23" s="65" t="s">
        <v>27</v>
      </c>
      <c r="H23" s="51">
        <v>200</v>
      </c>
      <c r="I23" s="51">
        <v>200</v>
      </c>
      <c r="J23" s="51">
        <v>50</v>
      </c>
      <c r="K23" s="51"/>
      <c r="L23" s="51"/>
      <c r="M23" s="56">
        <f t="shared" ref="M23:M27" si="25">SUM(H23:L23)</f>
        <v>450</v>
      </c>
      <c r="N23" s="63">
        <v>500</v>
      </c>
      <c r="O23" s="48">
        <f t="shared" si="22"/>
        <v>100000</v>
      </c>
      <c r="P23" s="48">
        <f t="shared" si="22"/>
        <v>100000</v>
      </c>
      <c r="Q23" s="48">
        <f t="shared" si="22"/>
        <v>25000</v>
      </c>
      <c r="R23" s="48">
        <f t="shared" si="22"/>
        <v>0</v>
      </c>
      <c r="S23" s="121">
        <f t="shared" si="22"/>
        <v>0</v>
      </c>
      <c r="T23" s="140">
        <f t="shared" si="23"/>
        <v>225000</v>
      </c>
      <c r="U23" s="155">
        <f t="shared" si="24"/>
        <v>0</v>
      </c>
      <c r="V23" s="148">
        <f t="shared" si="21"/>
        <v>0</v>
      </c>
      <c r="W23" s="148">
        <f t="shared" si="21"/>
        <v>225000</v>
      </c>
      <c r="X23" s="156">
        <f t="shared" si="21"/>
        <v>0</v>
      </c>
    </row>
    <row r="24" spans="2:24" s="45" customFormat="1" x14ac:dyDescent="0.35">
      <c r="B24" s="171" t="s">
        <v>164</v>
      </c>
      <c r="C24" s="286"/>
      <c r="D24" s="65" t="s">
        <v>125</v>
      </c>
      <c r="E24" s="65" t="s">
        <v>265</v>
      </c>
      <c r="F24" s="66">
        <v>10</v>
      </c>
      <c r="G24" s="65" t="s">
        <v>27</v>
      </c>
      <c r="H24" s="51">
        <v>20</v>
      </c>
      <c r="I24" s="51">
        <v>20</v>
      </c>
      <c r="J24" s="51">
        <v>20</v>
      </c>
      <c r="K24" s="51"/>
      <c r="L24" s="51"/>
      <c r="M24" s="56">
        <f t="shared" si="25"/>
        <v>60</v>
      </c>
      <c r="N24" s="63">
        <v>5000</v>
      </c>
      <c r="O24" s="48">
        <f t="shared" si="22"/>
        <v>100000</v>
      </c>
      <c r="P24" s="48">
        <f t="shared" si="22"/>
        <v>100000</v>
      </c>
      <c r="Q24" s="48">
        <f t="shared" si="22"/>
        <v>100000</v>
      </c>
      <c r="R24" s="48">
        <f t="shared" si="22"/>
        <v>0</v>
      </c>
      <c r="S24" s="121">
        <f t="shared" si="22"/>
        <v>0</v>
      </c>
      <c r="T24" s="140">
        <f t="shared" si="23"/>
        <v>300000</v>
      </c>
      <c r="U24" s="155">
        <f t="shared" si="24"/>
        <v>0</v>
      </c>
      <c r="V24" s="148">
        <f t="shared" si="21"/>
        <v>0</v>
      </c>
      <c r="W24" s="148">
        <f t="shared" si="21"/>
        <v>300000</v>
      </c>
      <c r="X24" s="156">
        <f t="shared" si="21"/>
        <v>0</v>
      </c>
    </row>
    <row r="25" spans="2:24" s="45" customFormat="1" x14ac:dyDescent="0.35">
      <c r="B25" s="171" t="s">
        <v>164</v>
      </c>
      <c r="C25" s="286"/>
      <c r="D25" s="65" t="s">
        <v>126</v>
      </c>
      <c r="E25" s="65" t="s">
        <v>265</v>
      </c>
      <c r="F25" s="66">
        <v>10</v>
      </c>
      <c r="G25" s="65" t="s">
        <v>27</v>
      </c>
      <c r="H25" s="51"/>
      <c r="I25" s="51">
        <v>1</v>
      </c>
      <c r="J25" s="51"/>
      <c r="K25" s="51"/>
      <c r="L25" s="51"/>
      <c r="M25" s="56">
        <f t="shared" si="25"/>
        <v>1</v>
      </c>
      <c r="N25" s="63">
        <v>50000</v>
      </c>
      <c r="O25" s="48">
        <f t="shared" si="22"/>
        <v>0</v>
      </c>
      <c r="P25" s="48">
        <f t="shared" si="22"/>
        <v>50000</v>
      </c>
      <c r="Q25" s="48">
        <f t="shared" si="22"/>
        <v>0</v>
      </c>
      <c r="R25" s="48">
        <f t="shared" si="22"/>
        <v>0</v>
      </c>
      <c r="S25" s="121">
        <f t="shared" si="22"/>
        <v>0</v>
      </c>
      <c r="T25" s="140">
        <f t="shared" si="23"/>
        <v>50000</v>
      </c>
      <c r="U25" s="155">
        <f t="shared" si="24"/>
        <v>0</v>
      </c>
      <c r="V25" s="148">
        <f t="shared" si="21"/>
        <v>0</v>
      </c>
      <c r="W25" s="148">
        <f t="shared" si="21"/>
        <v>50000</v>
      </c>
      <c r="X25" s="156">
        <f t="shared" si="21"/>
        <v>0</v>
      </c>
    </row>
    <row r="26" spans="2:24" s="45" customFormat="1" x14ac:dyDescent="0.35">
      <c r="B26" s="171" t="s">
        <v>164</v>
      </c>
      <c r="C26" s="286"/>
      <c r="D26" s="65" t="s">
        <v>127</v>
      </c>
      <c r="E26" s="65" t="s">
        <v>265</v>
      </c>
      <c r="F26" s="66">
        <v>10</v>
      </c>
      <c r="G26" s="65" t="s">
        <v>27</v>
      </c>
      <c r="H26" s="51">
        <v>8</v>
      </c>
      <c r="I26" s="51">
        <v>8</v>
      </c>
      <c r="J26" s="51">
        <v>8</v>
      </c>
      <c r="K26" s="51"/>
      <c r="L26" s="51"/>
      <c r="M26" s="56">
        <f t="shared" si="25"/>
        <v>24</v>
      </c>
      <c r="N26" s="63">
        <v>6000</v>
      </c>
      <c r="O26" s="48">
        <f t="shared" si="22"/>
        <v>48000</v>
      </c>
      <c r="P26" s="48">
        <f t="shared" si="22"/>
        <v>48000</v>
      </c>
      <c r="Q26" s="48">
        <f t="shared" si="22"/>
        <v>48000</v>
      </c>
      <c r="R26" s="48">
        <f t="shared" si="22"/>
        <v>0</v>
      </c>
      <c r="S26" s="121">
        <f t="shared" si="22"/>
        <v>0</v>
      </c>
      <c r="T26" s="140">
        <f t="shared" si="23"/>
        <v>144000</v>
      </c>
      <c r="U26" s="155">
        <f t="shared" si="24"/>
        <v>0</v>
      </c>
      <c r="V26" s="148">
        <f t="shared" si="21"/>
        <v>0</v>
      </c>
      <c r="W26" s="148">
        <f t="shared" si="21"/>
        <v>144000</v>
      </c>
      <c r="X26" s="156">
        <f t="shared" si="21"/>
        <v>0</v>
      </c>
    </row>
    <row r="27" spans="2:24" s="45" customFormat="1" x14ac:dyDescent="0.35">
      <c r="B27" s="171" t="s">
        <v>164</v>
      </c>
      <c r="C27" s="286"/>
      <c r="D27" s="65" t="s">
        <v>128</v>
      </c>
      <c r="E27" s="65" t="s">
        <v>265</v>
      </c>
      <c r="F27" s="66">
        <v>10</v>
      </c>
      <c r="G27" s="65" t="s">
        <v>27</v>
      </c>
      <c r="H27" s="51">
        <v>2</v>
      </c>
      <c r="I27" s="51"/>
      <c r="J27" s="51"/>
      <c r="K27" s="51"/>
      <c r="L27" s="51"/>
      <c r="M27" s="56">
        <f t="shared" si="25"/>
        <v>2</v>
      </c>
      <c r="N27" s="63">
        <v>20000</v>
      </c>
      <c r="O27" s="48">
        <f t="shared" si="22"/>
        <v>40000</v>
      </c>
      <c r="P27" s="48">
        <f t="shared" si="22"/>
        <v>0</v>
      </c>
      <c r="Q27" s="48">
        <f t="shared" si="22"/>
        <v>0</v>
      </c>
      <c r="R27" s="48">
        <f t="shared" si="22"/>
        <v>0</v>
      </c>
      <c r="S27" s="121">
        <f t="shared" si="22"/>
        <v>0</v>
      </c>
      <c r="T27" s="140">
        <f t="shared" si="23"/>
        <v>40000</v>
      </c>
      <c r="U27" s="155">
        <f t="shared" si="24"/>
        <v>0</v>
      </c>
      <c r="V27" s="148">
        <f t="shared" si="21"/>
        <v>0</v>
      </c>
      <c r="W27" s="148">
        <f t="shared" si="21"/>
        <v>40000</v>
      </c>
      <c r="X27" s="156">
        <f t="shared" si="21"/>
        <v>0</v>
      </c>
    </row>
    <row r="28" spans="2:24" s="45" customFormat="1" x14ac:dyDescent="0.35">
      <c r="B28" s="171" t="s">
        <v>164</v>
      </c>
      <c r="C28" s="286"/>
      <c r="D28" s="65" t="s">
        <v>130</v>
      </c>
      <c r="E28" s="65" t="s">
        <v>265</v>
      </c>
      <c r="F28" s="66">
        <v>10</v>
      </c>
      <c r="G28" s="65" t="s">
        <v>27</v>
      </c>
      <c r="H28" s="51">
        <v>1</v>
      </c>
      <c r="I28" s="51">
        <v>1</v>
      </c>
      <c r="J28" s="51"/>
      <c r="K28" s="51"/>
      <c r="L28" s="51"/>
      <c r="M28" s="56">
        <f>SUM(H28:L28)</f>
        <v>2</v>
      </c>
      <c r="N28" s="63">
        <v>20000</v>
      </c>
      <c r="O28" s="48">
        <f t="shared" si="22"/>
        <v>20000</v>
      </c>
      <c r="P28" s="48">
        <f t="shared" si="22"/>
        <v>20000</v>
      </c>
      <c r="Q28" s="48">
        <f t="shared" si="22"/>
        <v>0</v>
      </c>
      <c r="R28" s="48">
        <f t="shared" si="22"/>
        <v>0</v>
      </c>
      <c r="S28" s="121">
        <f t="shared" si="22"/>
        <v>0</v>
      </c>
      <c r="T28" s="140">
        <f t="shared" si="23"/>
        <v>40000</v>
      </c>
      <c r="U28" s="155">
        <f t="shared" si="24"/>
        <v>0</v>
      </c>
      <c r="V28" s="148">
        <f t="shared" si="21"/>
        <v>0</v>
      </c>
      <c r="W28" s="148">
        <f t="shared" si="21"/>
        <v>40000</v>
      </c>
      <c r="X28" s="156">
        <f t="shared" si="21"/>
        <v>0</v>
      </c>
    </row>
    <row r="29" spans="2:24" s="45" customFormat="1" x14ac:dyDescent="0.35">
      <c r="B29" s="171" t="s">
        <v>164</v>
      </c>
      <c r="C29" s="286"/>
      <c r="D29" s="65" t="s">
        <v>129</v>
      </c>
      <c r="E29" s="65" t="s">
        <v>265</v>
      </c>
      <c r="F29" s="66">
        <v>10</v>
      </c>
      <c r="G29" s="65" t="s">
        <v>27</v>
      </c>
      <c r="H29" s="51"/>
      <c r="I29" s="51">
        <v>1</v>
      </c>
      <c r="J29" s="51"/>
      <c r="K29" s="51"/>
      <c r="L29" s="51"/>
      <c r="M29" s="56">
        <f>SUM(H29:L29)</f>
        <v>1</v>
      </c>
      <c r="N29" s="63">
        <v>10000</v>
      </c>
      <c r="O29" s="48">
        <f t="shared" ref="O29:O30" si="26">H29*$N29</f>
        <v>0</v>
      </c>
      <c r="P29" s="48">
        <f t="shared" si="22"/>
        <v>10000</v>
      </c>
      <c r="Q29" s="48">
        <f>J29*$N29</f>
        <v>0</v>
      </c>
      <c r="R29" s="48">
        <f t="shared" si="22"/>
        <v>0</v>
      </c>
      <c r="S29" s="121">
        <f t="shared" si="22"/>
        <v>0</v>
      </c>
      <c r="T29" s="140">
        <f t="shared" si="23"/>
        <v>10000</v>
      </c>
      <c r="U29" s="155">
        <f t="shared" si="24"/>
        <v>0</v>
      </c>
      <c r="V29" s="148">
        <f t="shared" si="21"/>
        <v>0</v>
      </c>
      <c r="W29" s="148">
        <f t="shared" si="21"/>
        <v>10000</v>
      </c>
      <c r="X29" s="156">
        <f>IF($E29=X$3,$T29,0)</f>
        <v>0</v>
      </c>
    </row>
    <row r="30" spans="2:24" s="45" customFormat="1" x14ac:dyDescent="0.35">
      <c r="B30" s="171" t="s">
        <v>164</v>
      </c>
      <c r="C30" s="286"/>
      <c r="D30" s="188" t="s">
        <v>242</v>
      </c>
      <c r="E30" s="65" t="s">
        <v>265</v>
      </c>
      <c r="F30" s="66">
        <v>5</v>
      </c>
      <c r="G30" s="65" t="s">
        <v>27</v>
      </c>
      <c r="H30" s="51"/>
      <c r="I30" s="51">
        <v>1</v>
      </c>
      <c r="J30" s="51"/>
      <c r="K30" s="51"/>
      <c r="L30" s="51"/>
      <c r="M30" s="56">
        <f t="shared" ref="M30" si="27">SUM(H30:K30)</f>
        <v>1</v>
      </c>
      <c r="N30" s="63">
        <v>10000</v>
      </c>
      <c r="O30" s="48">
        <f t="shared" si="26"/>
        <v>0</v>
      </c>
      <c r="P30" s="48">
        <f t="shared" ref="P30" si="28">I30*$N30</f>
        <v>10000</v>
      </c>
      <c r="Q30" s="48">
        <f t="shared" ref="Q30" si="29">J30*$N30</f>
        <v>0</v>
      </c>
      <c r="R30" s="48">
        <f t="shared" ref="R30" si="30">K30*$N30</f>
        <v>0</v>
      </c>
      <c r="S30" s="121">
        <f t="shared" ref="S30" si="31">L30*$N30</f>
        <v>0</v>
      </c>
      <c r="T30" s="140">
        <f t="shared" ref="T30" si="32">SUM(O30:S30)</f>
        <v>10000</v>
      </c>
      <c r="U30" s="155">
        <f t="shared" si="24"/>
        <v>0</v>
      </c>
      <c r="V30" s="148">
        <f t="shared" si="21"/>
        <v>0</v>
      </c>
      <c r="W30" s="148">
        <f t="shared" si="21"/>
        <v>10000</v>
      </c>
      <c r="X30" s="156">
        <f t="shared" si="21"/>
        <v>0</v>
      </c>
    </row>
    <row r="31" spans="2:24" s="45" customFormat="1" x14ac:dyDescent="0.35">
      <c r="B31" s="171" t="s">
        <v>164</v>
      </c>
      <c r="C31" s="286"/>
      <c r="D31" s="65" t="s">
        <v>23</v>
      </c>
      <c r="E31" s="65" t="s">
        <v>265</v>
      </c>
      <c r="F31" s="66"/>
      <c r="G31" s="65" t="s">
        <v>27</v>
      </c>
      <c r="H31" s="51"/>
      <c r="I31" s="51"/>
      <c r="J31" s="51"/>
      <c r="K31" s="51"/>
      <c r="L31" s="51"/>
      <c r="M31" s="56">
        <f t="shared" ref="M31:M36" si="33">SUM(H31:K31)</f>
        <v>0</v>
      </c>
      <c r="N31" s="63">
        <v>36000</v>
      </c>
      <c r="O31" s="48">
        <f t="shared" si="22"/>
        <v>0</v>
      </c>
      <c r="P31" s="48">
        <f t="shared" si="22"/>
        <v>0</v>
      </c>
      <c r="Q31" s="48">
        <f t="shared" si="22"/>
        <v>0</v>
      </c>
      <c r="R31" s="48">
        <f t="shared" si="22"/>
        <v>0</v>
      </c>
      <c r="S31" s="121">
        <f t="shared" si="22"/>
        <v>0</v>
      </c>
      <c r="T31" s="140">
        <f t="shared" si="23"/>
        <v>0</v>
      </c>
      <c r="U31" s="155">
        <f t="shared" si="24"/>
        <v>0</v>
      </c>
      <c r="V31" s="148">
        <f t="shared" si="21"/>
        <v>0</v>
      </c>
      <c r="W31" s="148">
        <f t="shared" si="21"/>
        <v>0</v>
      </c>
      <c r="X31" s="156">
        <f t="shared" si="21"/>
        <v>0</v>
      </c>
    </row>
    <row r="32" spans="2:24" s="45" customFormat="1" x14ac:dyDescent="0.35">
      <c r="B32" s="171" t="s">
        <v>164</v>
      </c>
      <c r="C32" s="286"/>
      <c r="D32" s="65" t="s">
        <v>24</v>
      </c>
      <c r="E32" s="65"/>
      <c r="F32" s="66"/>
      <c r="G32" s="65" t="s">
        <v>27</v>
      </c>
      <c r="H32" s="51"/>
      <c r="I32" s="51"/>
      <c r="J32" s="51"/>
      <c r="K32" s="51"/>
      <c r="L32" s="51"/>
      <c r="M32" s="56">
        <f t="shared" si="33"/>
        <v>0</v>
      </c>
      <c r="N32" s="63">
        <v>420000</v>
      </c>
      <c r="O32" s="48">
        <f t="shared" si="22"/>
        <v>0</v>
      </c>
      <c r="P32" s="48">
        <f t="shared" si="22"/>
        <v>0</v>
      </c>
      <c r="Q32" s="48">
        <f t="shared" si="22"/>
        <v>0</v>
      </c>
      <c r="R32" s="48">
        <f t="shared" si="22"/>
        <v>0</v>
      </c>
      <c r="S32" s="121">
        <f t="shared" si="22"/>
        <v>0</v>
      </c>
      <c r="T32" s="140">
        <f t="shared" si="23"/>
        <v>0</v>
      </c>
      <c r="U32" s="155">
        <f t="shared" si="24"/>
        <v>0</v>
      </c>
      <c r="V32" s="148">
        <f t="shared" si="21"/>
        <v>0</v>
      </c>
      <c r="W32" s="148">
        <f t="shared" si="21"/>
        <v>0</v>
      </c>
      <c r="X32" s="156">
        <f t="shared" si="21"/>
        <v>0</v>
      </c>
    </row>
    <row r="33" spans="2:24" s="45" customFormat="1" x14ac:dyDescent="0.35">
      <c r="B33" s="171" t="s">
        <v>164</v>
      </c>
      <c r="C33" s="286"/>
      <c r="D33" s="65" t="s">
        <v>25</v>
      </c>
      <c r="E33" s="65" t="s">
        <v>265</v>
      </c>
      <c r="F33" s="66"/>
      <c r="G33" s="65" t="s">
        <v>27</v>
      </c>
      <c r="H33" s="51"/>
      <c r="I33" s="51"/>
      <c r="J33" s="51"/>
      <c r="K33" s="51"/>
      <c r="L33" s="51"/>
      <c r="M33" s="56">
        <f>SUM(H33:L33)</f>
        <v>0</v>
      </c>
      <c r="N33" s="63">
        <v>480000</v>
      </c>
      <c r="O33" s="48">
        <f t="shared" si="22"/>
        <v>0</v>
      </c>
      <c r="P33" s="48">
        <f t="shared" si="22"/>
        <v>0</v>
      </c>
      <c r="Q33" s="48">
        <f t="shared" si="22"/>
        <v>0</v>
      </c>
      <c r="R33" s="48">
        <f t="shared" si="22"/>
        <v>0</v>
      </c>
      <c r="S33" s="121">
        <f t="shared" si="22"/>
        <v>0</v>
      </c>
      <c r="T33" s="140">
        <f t="shared" si="23"/>
        <v>0</v>
      </c>
      <c r="U33" s="155">
        <f t="shared" si="24"/>
        <v>0</v>
      </c>
      <c r="V33" s="148">
        <f t="shared" si="21"/>
        <v>0</v>
      </c>
      <c r="W33" s="148">
        <f t="shared" si="21"/>
        <v>0</v>
      </c>
      <c r="X33" s="156">
        <f t="shared" si="21"/>
        <v>0</v>
      </c>
    </row>
    <row r="34" spans="2:24" s="45" customFormat="1" x14ac:dyDescent="0.35">
      <c r="B34" s="171" t="s">
        <v>164</v>
      </c>
      <c r="C34" s="286"/>
      <c r="D34" s="65" t="s">
        <v>14</v>
      </c>
      <c r="E34" s="65" t="s">
        <v>265</v>
      </c>
      <c r="F34" s="66">
        <v>15</v>
      </c>
      <c r="G34" s="65" t="s">
        <v>27</v>
      </c>
      <c r="H34" s="51"/>
      <c r="I34" s="51">
        <v>1</v>
      </c>
      <c r="J34" s="51"/>
      <c r="K34" s="51"/>
      <c r="L34" s="51"/>
      <c r="M34" s="56">
        <f t="shared" si="33"/>
        <v>1</v>
      </c>
      <c r="N34" s="63">
        <v>240000</v>
      </c>
      <c r="O34" s="48">
        <f t="shared" si="22"/>
        <v>0</v>
      </c>
      <c r="P34" s="48">
        <f t="shared" si="22"/>
        <v>240000</v>
      </c>
      <c r="Q34" s="48">
        <f t="shared" si="22"/>
        <v>0</v>
      </c>
      <c r="R34" s="48">
        <f t="shared" si="22"/>
        <v>0</v>
      </c>
      <c r="S34" s="121">
        <f t="shared" si="22"/>
        <v>0</v>
      </c>
      <c r="T34" s="140">
        <f t="shared" si="23"/>
        <v>240000</v>
      </c>
      <c r="U34" s="155">
        <f t="shared" si="24"/>
        <v>0</v>
      </c>
      <c r="V34" s="148">
        <f t="shared" si="21"/>
        <v>0</v>
      </c>
      <c r="W34" s="148">
        <f t="shared" si="21"/>
        <v>240000</v>
      </c>
      <c r="X34" s="156">
        <f t="shared" si="21"/>
        <v>0</v>
      </c>
    </row>
    <row r="35" spans="2:24" s="45" customFormat="1" x14ac:dyDescent="0.35">
      <c r="B35" s="171" t="s">
        <v>164</v>
      </c>
      <c r="C35" s="286"/>
      <c r="D35" s="65" t="s">
        <v>2</v>
      </c>
      <c r="E35" s="65" t="s">
        <v>265</v>
      </c>
      <c r="F35" s="66">
        <v>20</v>
      </c>
      <c r="G35" s="65" t="s">
        <v>27</v>
      </c>
      <c r="H35" s="51"/>
      <c r="I35" s="51">
        <v>1</v>
      </c>
      <c r="J35" s="51"/>
      <c r="K35" s="51"/>
      <c r="L35" s="51"/>
      <c r="M35" s="56">
        <f t="shared" si="33"/>
        <v>1</v>
      </c>
      <c r="N35" s="63">
        <v>2500000</v>
      </c>
      <c r="O35" s="48">
        <f t="shared" si="22"/>
        <v>0</v>
      </c>
      <c r="P35" s="48">
        <f t="shared" si="22"/>
        <v>2500000</v>
      </c>
      <c r="Q35" s="48">
        <f t="shared" si="22"/>
        <v>0</v>
      </c>
      <c r="R35" s="48">
        <f t="shared" si="22"/>
        <v>0</v>
      </c>
      <c r="S35" s="121">
        <f t="shared" si="22"/>
        <v>0</v>
      </c>
      <c r="T35" s="140">
        <f t="shared" si="23"/>
        <v>2500000</v>
      </c>
      <c r="U35" s="155">
        <f t="shared" si="24"/>
        <v>0</v>
      </c>
      <c r="V35" s="148">
        <f t="shared" si="21"/>
        <v>0</v>
      </c>
      <c r="W35" s="148">
        <f t="shared" si="21"/>
        <v>2500000</v>
      </c>
      <c r="X35" s="156">
        <f t="shared" si="21"/>
        <v>0</v>
      </c>
    </row>
    <row r="36" spans="2:24" s="45" customFormat="1" ht="15" thickBot="1" x14ac:dyDescent="0.4">
      <c r="B36" s="171" t="s">
        <v>164</v>
      </c>
      <c r="C36" s="287"/>
      <c r="D36" s="67" t="s">
        <v>38</v>
      </c>
      <c r="E36" s="65" t="s">
        <v>265</v>
      </c>
      <c r="F36" s="68">
        <v>30</v>
      </c>
      <c r="G36" s="67" t="s">
        <v>6</v>
      </c>
      <c r="H36" s="52">
        <f>H35</f>
        <v>0</v>
      </c>
      <c r="I36" s="52">
        <f t="shared" ref="I36:L36" si="34">I35</f>
        <v>1</v>
      </c>
      <c r="J36" s="52">
        <f t="shared" si="34"/>
        <v>0</v>
      </c>
      <c r="K36" s="52">
        <f t="shared" si="34"/>
        <v>0</v>
      </c>
      <c r="L36" s="52">
        <f t="shared" si="34"/>
        <v>0</v>
      </c>
      <c r="M36" s="57">
        <f t="shared" si="33"/>
        <v>1</v>
      </c>
      <c r="N36" s="64">
        <v>500000</v>
      </c>
      <c r="O36" s="49">
        <f t="shared" si="22"/>
        <v>0</v>
      </c>
      <c r="P36" s="49">
        <f t="shared" si="22"/>
        <v>500000</v>
      </c>
      <c r="Q36" s="49">
        <f t="shared" si="22"/>
        <v>0</v>
      </c>
      <c r="R36" s="49">
        <f t="shared" si="22"/>
        <v>0</v>
      </c>
      <c r="S36" s="122">
        <f t="shared" si="22"/>
        <v>0</v>
      </c>
      <c r="T36" s="141">
        <f t="shared" si="23"/>
        <v>500000</v>
      </c>
      <c r="U36" s="155">
        <f t="shared" si="24"/>
        <v>0</v>
      </c>
      <c r="V36" s="148">
        <f t="shared" si="21"/>
        <v>0</v>
      </c>
      <c r="W36" s="148">
        <f t="shared" si="21"/>
        <v>500000</v>
      </c>
      <c r="X36" s="156">
        <f t="shared" si="21"/>
        <v>0</v>
      </c>
    </row>
    <row r="37" spans="2:24" s="45" customFormat="1" ht="15" thickBot="1" x14ac:dyDescent="0.4">
      <c r="C37" s="46"/>
      <c r="D37" s="46"/>
      <c r="E37" s="46"/>
      <c r="F37" s="46"/>
      <c r="G37" s="46"/>
      <c r="H37" s="46"/>
      <c r="I37" s="46"/>
      <c r="J37" s="46"/>
      <c r="K37" s="46"/>
      <c r="L37" s="46"/>
      <c r="M37" s="46"/>
      <c r="N37" s="46"/>
      <c r="O37" s="46"/>
      <c r="P37" s="46"/>
      <c r="Q37" s="46"/>
      <c r="R37" s="46"/>
      <c r="S37" s="46"/>
      <c r="T37" s="46"/>
      <c r="U37" s="152"/>
      <c r="V37" s="152"/>
      <c r="W37" s="152"/>
      <c r="X37" s="152"/>
    </row>
    <row r="38" spans="2:24" s="45" customFormat="1" ht="15" thickBot="1" x14ac:dyDescent="0.4">
      <c r="C38" s="47"/>
      <c r="D38" s="46"/>
      <c r="E38" s="46"/>
      <c r="F38" s="46"/>
      <c r="G38" s="46"/>
      <c r="H38" s="46"/>
      <c r="I38" s="46"/>
      <c r="J38" s="46"/>
      <c r="K38" s="46"/>
      <c r="L38" s="87"/>
      <c r="M38" s="88"/>
      <c r="N38" s="89" t="s">
        <v>94</v>
      </c>
      <c r="O38" s="83">
        <f>SUM(O20:O36)</f>
        <v>533000</v>
      </c>
      <c r="P38" s="84">
        <f>SUM(P20:P36)</f>
        <v>3803000</v>
      </c>
      <c r="Q38" s="84">
        <f>SUM(Q20:Q36)</f>
        <v>398000</v>
      </c>
      <c r="R38" s="84">
        <f>SUM(R20:R36)</f>
        <v>225000</v>
      </c>
      <c r="S38" s="85">
        <f>SUM(S20:S36)</f>
        <v>225000</v>
      </c>
      <c r="T38" s="142">
        <f>SUM(O38:S38)</f>
        <v>5184000</v>
      </c>
      <c r="U38" s="147">
        <f>SUM(U20:U36)</f>
        <v>0</v>
      </c>
      <c r="V38" s="149">
        <f t="shared" ref="V38:X38" si="35">SUM(V20:V36)</f>
        <v>0</v>
      </c>
      <c r="W38" s="149">
        <f t="shared" si="35"/>
        <v>5184000</v>
      </c>
      <c r="X38" s="150">
        <f t="shared" si="35"/>
        <v>0</v>
      </c>
    </row>
    <row r="39" spans="2:24" x14ac:dyDescent="0.35">
      <c r="C39" s="11"/>
      <c r="D39" s="2"/>
      <c r="E39" s="2"/>
      <c r="F39" s="2"/>
      <c r="G39" s="2"/>
      <c r="H39" s="2"/>
      <c r="I39" s="2"/>
      <c r="J39" s="2"/>
      <c r="K39" s="2"/>
      <c r="L39" s="2"/>
      <c r="M39" s="2"/>
      <c r="N39" s="36"/>
      <c r="O39" s="37"/>
      <c r="P39" s="37"/>
      <c r="Q39" s="37"/>
      <c r="R39" s="37"/>
      <c r="S39" s="37"/>
      <c r="T39" s="38"/>
      <c r="U39" s="38"/>
      <c r="V39" s="38"/>
      <c r="W39" s="38"/>
      <c r="X39" s="38"/>
    </row>
    <row r="40" spans="2:24" ht="15" thickBot="1" x14ac:dyDescent="0.4">
      <c r="C40" s="9"/>
      <c r="D40" s="2"/>
      <c r="E40" s="2"/>
      <c r="F40" s="2"/>
      <c r="G40" s="2"/>
      <c r="H40" s="2"/>
      <c r="I40" s="2"/>
      <c r="J40" s="2"/>
      <c r="K40" s="2"/>
      <c r="L40" s="2"/>
      <c r="M40" s="2"/>
      <c r="N40" s="36"/>
      <c r="O40" s="37"/>
      <c r="P40" s="37"/>
      <c r="Q40" s="37"/>
      <c r="R40" s="37"/>
      <c r="S40" s="37"/>
      <c r="T40" s="38"/>
      <c r="U40" s="38"/>
      <c r="V40" s="38"/>
      <c r="W40" s="38"/>
      <c r="X40" s="38"/>
    </row>
    <row r="41" spans="2:24" s="71" customFormat="1" ht="43.5" x14ac:dyDescent="0.35">
      <c r="C41" s="75" t="s">
        <v>91</v>
      </c>
      <c r="D41" s="74" t="s">
        <v>7</v>
      </c>
      <c r="E41" s="74" t="str">
        <f>E19</f>
        <v>Fin.
AFD, EU, GCF, GVNT</v>
      </c>
      <c r="F41" s="74" t="str">
        <f>F19</f>
        <v>Durée de vie (an)</v>
      </c>
      <c r="G41" s="74" t="s">
        <v>26</v>
      </c>
      <c r="H41" s="72">
        <v>2021</v>
      </c>
      <c r="I41" s="72">
        <v>2022</v>
      </c>
      <c r="J41" s="72">
        <v>2023</v>
      </c>
      <c r="K41" s="72">
        <v>2024</v>
      </c>
      <c r="L41" s="72">
        <v>2025</v>
      </c>
      <c r="M41" s="69" t="s">
        <v>36</v>
      </c>
      <c r="N41" s="62" t="s">
        <v>37</v>
      </c>
      <c r="O41" s="73" t="s">
        <v>64</v>
      </c>
      <c r="P41" s="73" t="s">
        <v>39</v>
      </c>
      <c r="Q41" s="73" t="s">
        <v>65</v>
      </c>
      <c r="R41" s="73" t="s">
        <v>66</v>
      </c>
      <c r="S41" s="73" t="s">
        <v>67</v>
      </c>
      <c r="T41" s="151" t="s">
        <v>5</v>
      </c>
      <c r="U41" s="153"/>
      <c r="V41" s="145"/>
      <c r="W41" s="145"/>
      <c r="X41" s="154"/>
    </row>
    <row r="42" spans="2:24" x14ac:dyDescent="0.35">
      <c r="B42" s="170" t="s">
        <v>165</v>
      </c>
      <c r="C42" s="288" t="s">
        <v>13</v>
      </c>
      <c r="D42" s="65" t="s">
        <v>18</v>
      </c>
      <c r="E42" s="65" t="s">
        <v>265</v>
      </c>
      <c r="F42" s="66">
        <v>10</v>
      </c>
      <c r="G42" s="65" t="s">
        <v>28</v>
      </c>
      <c r="H42" s="51">
        <v>1</v>
      </c>
      <c r="I42" s="51"/>
      <c r="J42" s="51"/>
      <c r="K42" s="51"/>
      <c r="L42" s="51"/>
      <c r="M42" s="56">
        <f>SUM(H42:L42)</f>
        <v>1</v>
      </c>
      <c r="N42" s="63">
        <v>300000</v>
      </c>
      <c r="O42" s="48">
        <f>H42*$N42</f>
        <v>300000</v>
      </c>
      <c r="P42" s="48">
        <f>I42*$N42</f>
        <v>0</v>
      </c>
      <c r="Q42" s="48">
        <f>J42*$N42</f>
        <v>0</v>
      </c>
      <c r="R42" s="48">
        <f>K42*$N42</f>
        <v>0</v>
      </c>
      <c r="S42" s="48">
        <f>L42*$N42</f>
        <v>0</v>
      </c>
      <c r="T42" s="140">
        <f>SUM(O42:S42)</f>
        <v>300000</v>
      </c>
      <c r="U42" s="155">
        <f>IF($E42=U$3,$T42,0)</f>
        <v>0</v>
      </c>
      <c r="V42" s="148">
        <f t="shared" ref="V42:X53" si="36">IF($E42=V$3,$T42,0)</f>
        <v>0</v>
      </c>
      <c r="W42" s="148">
        <f t="shared" si="36"/>
        <v>300000</v>
      </c>
      <c r="X42" s="156">
        <f t="shared" si="36"/>
        <v>0</v>
      </c>
    </row>
    <row r="43" spans="2:24" x14ac:dyDescent="0.35">
      <c r="B43" s="170" t="s">
        <v>165</v>
      </c>
      <c r="C43" s="284"/>
      <c r="D43" s="65" t="s">
        <v>80</v>
      </c>
      <c r="E43" s="65" t="s">
        <v>265</v>
      </c>
      <c r="F43" s="66">
        <v>10</v>
      </c>
      <c r="G43" s="65" t="s">
        <v>27</v>
      </c>
      <c r="H43" s="51">
        <v>1</v>
      </c>
      <c r="I43" s="51"/>
      <c r="J43" s="51"/>
      <c r="K43" s="51"/>
      <c r="L43" s="51"/>
      <c r="M43" s="56">
        <f t="shared" ref="M43:M53" si="37">SUM(H43:L43)</f>
        <v>1</v>
      </c>
      <c r="N43" s="63">
        <v>300000</v>
      </c>
      <c r="O43" s="48">
        <f t="shared" ref="O43:S53" si="38">H43*$N43</f>
        <v>300000</v>
      </c>
      <c r="P43" s="48">
        <f t="shared" si="38"/>
        <v>0</v>
      </c>
      <c r="Q43" s="48">
        <f t="shared" si="38"/>
        <v>0</v>
      </c>
      <c r="R43" s="48">
        <f t="shared" si="38"/>
        <v>0</v>
      </c>
      <c r="S43" s="48">
        <f t="shared" si="38"/>
        <v>0</v>
      </c>
      <c r="T43" s="140">
        <f t="shared" ref="T43:T53" si="39">SUM(O43:S43)</f>
        <v>300000</v>
      </c>
      <c r="U43" s="155">
        <f t="shared" ref="U43:U53" si="40">IF($E43=U$3,$T43,0)</f>
        <v>0</v>
      </c>
      <c r="V43" s="148">
        <f t="shared" si="36"/>
        <v>0</v>
      </c>
      <c r="W43" s="148">
        <f t="shared" si="36"/>
        <v>300000</v>
      </c>
      <c r="X43" s="156">
        <f t="shared" si="36"/>
        <v>0</v>
      </c>
    </row>
    <row r="44" spans="2:24" x14ac:dyDescent="0.35">
      <c r="B44" s="170" t="s">
        <v>165</v>
      </c>
      <c r="C44" s="284"/>
      <c r="D44" s="65" t="s">
        <v>35</v>
      </c>
      <c r="E44" s="65" t="s">
        <v>265</v>
      </c>
      <c r="F44" s="66">
        <v>10</v>
      </c>
      <c r="G44" s="65" t="s">
        <v>27</v>
      </c>
      <c r="H44" s="51">
        <v>1</v>
      </c>
      <c r="I44" s="51"/>
      <c r="J44" s="51"/>
      <c r="K44" s="51"/>
      <c r="L44" s="51"/>
      <c r="M44" s="56">
        <f t="shared" si="37"/>
        <v>1</v>
      </c>
      <c r="N44" s="63">
        <v>200000</v>
      </c>
      <c r="O44" s="48">
        <f t="shared" si="38"/>
        <v>200000</v>
      </c>
      <c r="P44" s="48">
        <f t="shared" si="38"/>
        <v>0</v>
      </c>
      <c r="Q44" s="48">
        <f t="shared" si="38"/>
        <v>0</v>
      </c>
      <c r="R44" s="48">
        <f t="shared" si="38"/>
        <v>0</v>
      </c>
      <c r="S44" s="48">
        <f t="shared" si="38"/>
        <v>0</v>
      </c>
      <c r="T44" s="140">
        <f t="shared" si="39"/>
        <v>200000</v>
      </c>
      <c r="U44" s="155">
        <f t="shared" si="40"/>
        <v>0</v>
      </c>
      <c r="V44" s="148">
        <f t="shared" si="36"/>
        <v>0</v>
      </c>
      <c r="W44" s="148">
        <f t="shared" si="36"/>
        <v>200000</v>
      </c>
      <c r="X44" s="156">
        <f t="shared" si="36"/>
        <v>0</v>
      </c>
    </row>
    <row r="45" spans="2:24" x14ac:dyDescent="0.35">
      <c r="B45" s="170" t="s">
        <v>165</v>
      </c>
      <c r="C45" s="284"/>
      <c r="D45" s="65" t="s">
        <v>29</v>
      </c>
      <c r="E45" s="65" t="s">
        <v>265</v>
      </c>
      <c r="F45" s="66">
        <v>10</v>
      </c>
      <c r="G45" s="65" t="s">
        <v>27</v>
      </c>
      <c r="H45" s="51"/>
      <c r="I45" s="51">
        <v>1</v>
      </c>
      <c r="J45" s="51"/>
      <c r="K45" s="51"/>
      <c r="L45" s="51"/>
      <c r="M45" s="56">
        <f t="shared" si="37"/>
        <v>1</v>
      </c>
      <c r="N45" s="63">
        <v>300000</v>
      </c>
      <c r="O45" s="48">
        <f t="shared" si="38"/>
        <v>0</v>
      </c>
      <c r="P45" s="48">
        <f t="shared" si="38"/>
        <v>300000</v>
      </c>
      <c r="Q45" s="48">
        <f t="shared" si="38"/>
        <v>0</v>
      </c>
      <c r="R45" s="48">
        <f t="shared" si="38"/>
        <v>0</v>
      </c>
      <c r="S45" s="48">
        <f t="shared" si="38"/>
        <v>0</v>
      </c>
      <c r="T45" s="140">
        <f t="shared" si="39"/>
        <v>300000</v>
      </c>
      <c r="U45" s="155">
        <f t="shared" si="40"/>
        <v>0</v>
      </c>
      <c r="V45" s="148">
        <f t="shared" si="36"/>
        <v>0</v>
      </c>
      <c r="W45" s="148">
        <f t="shared" si="36"/>
        <v>300000</v>
      </c>
      <c r="X45" s="156">
        <f t="shared" si="36"/>
        <v>0</v>
      </c>
    </row>
    <row r="46" spans="2:24" x14ac:dyDescent="0.35">
      <c r="B46" s="170" t="s">
        <v>165</v>
      </c>
      <c r="C46" s="284"/>
      <c r="D46" s="65" t="s">
        <v>58</v>
      </c>
      <c r="E46" s="65" t="s">
        <v>265</v>
      </c>
      <c r="F46" s="66">
        <v>10</v>
      </c>
      <c r="G46" s="65" t="s">
        <v>28</v>
      </c>
      <c r="H46" s="51"/>
      <c r="I46" s="51">
        <v>2</v>
      </c>
      <c r="J46" s="51"/>
      <c r="K46" s="51"/>
      <c r="L46" s="51"/>
      <c r="M46" s="56">
        <f t="shared" si="37"/>
        <v>2</v>
      </c>
      <c r="N46" s="63">
        <v>150000</v>
      </c>
      <c r="O46" s="48">
        <f t="shared" si="38"/>
        <v>0</v>
      </c>
      <c r="P46" s="48">
        <f t="shared" si="38"/>
        <v>300000</v>
      </c>
      <c r="Q46" s="48">
        <f t="shared" si="38"/>
        <v>0</v>
      </c>
      <c r="R46" s="48">
        <f t="shared" si="38"/>
        <v>0</v>
      </c>
      <c r="S46" s="48">
        <f t="shared" si="38"/>
        <v>0</v>
      </c>
      <c r="T46" s="140">
        <f t="shared" si="39"/>
        <v>300000</v>
      </c>
      <c r="U46" s="155">
        <f t="shared" si="40"/>
        <v>0</v>
      </c>
      <c r="V46" s="148">
        <f t="shared" si="36"/>
        <v>0</v>
      </c>
      <c r="W46" s="148">
        <f t="shared" si="36"/>
        <v>300000</v>
      </c>
      <c r="X46" s="156">
        <f t="shared" si="36"/>
        <v>0</v>
      </c>
    </row>
    <row r="47" spans="2:24" x14ac:dyDescent="0.35">
      <c r="B47" s="170" t="s">
        <v>165</v>
      </c>
      <c r="C47" s="284"/>
      <c r="D47" s="65" t="s">
        <v>30</v>
      </c>
      <c r="E47" s="65" t="s">
        <v>265</v>
      </c>
      <c r="F47" s="66"/>
      <c r="G47" s="65" t="s">
        <v>28</v>
      </c>
      <c r="H47" s="51"/>
      <c r="I47" s="51"/>
      <c r="J47" s="51"/>
      <c r="K47" s="51"/>
      <c r="L47" s="51"/>
      <c r="M47" s="56">
        <f t="shared" si="37"/>
        <v>0</v>
      </c>
      <c r="N47" s="63">
        <v>360000</v>
      </c>
      <c r="O47" s="48">
        <f t="shared" si="38"/>
        <v>0</v>
      </c>
      <c r="P47" s="48">
        <f t="shared" si="38"/>
        <v>0</v>
      </c>
      <c r="Q47" s="48">
        <f t="shared" si="38"/>
        <v>0</v>
      </c>
      <c r="R47" s="48">
        <f t="shared" si="38"/>
        <v>0</v>
      </c>
      <c r="S47" s="48">
        <f t="shared" si="38"/>
        <v>0</v>
      </c>
      <c r="T47" s="140">
        <f t="shared" si="39"/>
        <v>0</v>
      </c>
      <c r="U47" s="155">
        <f t="shared" si="40"/>
        <v>0</v>
      </c>
      <c r="V47" s="148">
        <f t="shared" si="36"/>
        <v>0</v>
      </c>
      <c r="W47" s="148">
        <f t="shared" si="36"/>
        <v>0</v>
      </c>
      <c r="X47" s="156">
        <f t="shared" si="36"/>
        <v>0</v>
      </c>
    </row>
    <row r="48" spans="2:24" x14ac:dyDescent="0.35">
      <c r="B48" s="170" t="s">
        <v>165</v>
      </c>
      <c r="C48" s="284"/>
      <c r="D48" s="65" t="s">
        <v>3</v>
      </c>
      <c r="E48" s="65" t="s">
        <v>265</v>
      </c>
      <c r="F48" s="66">
        <v>10</v>
      </c>
      <c r="G48" s="65" t="s">
        <v>28</v>
      </c>
      <c r="H48" s="51"/>
      <c r="I48" s="51">
        <v>1</v>
      </c>
      <c r="J48" s="51"/>
      <c r="K48" s="51"/>
      <c r="L48" s="51"/>
      <c r="M48" s="56">
        <f t="shared" si="37"/>
        <v>1</v>
      </c>
      <c r="N48" s="63">
        <v>600000</v>
      </c>
      <c r="O48" s="48">
        <f t="shared" si="38"/>
        <v>0</v>
      </c>
      <c r="P48" s="48">
        <f t="shared" si="38"/>
        <v>600000</v>
      </c>
      <c r="Q48" s="48">
        <f t="shared" si="38"/>
        <v>0</v>
      </c>
      <c r="R48" s="48">
        <f t="shared" si="38"/>
        <v>0</v>
      </c>
      <c r="S48" s="48">
        <f t="shared" si="38"/>
        <v>0</v>
      </c>
      <c r="T48" s="140">
        <f t="shared" si="39"/>
        <v>600000</v>
      </c>
      <c r="U48" s="155">
        <f t="shared" si="40"/>
        <v>0</v>
      </c>
      <c r="V48" s="148">
        <f t="shared" si="36"/>
        <v>0</v>
      </c>
      <c r="W48" s="148">
        <f t="shared" si="36"/>
        <v>600000</v>
      </c>
      <c r="X48" s="156">
        <f t="shared" si="36"/>
        <v>0</v>
      </c>
    </row>
    <row r="49" spans="2:24" x14ac:dyDescent="0.35">
      <c r="B49" s="170" t="s">
        <v>165</v>
      </c>
      <c r="C49" s="284"/>
      <c r="D49" s="65" t="s">
        <v>31</v>
      </c>
      <c r="E49" s="65" t="s">
        <v>265</v>
      </c>
      <c r="F49" s="66">
        <v>10</v>
      </c>
      <c r="G49" s="65" t="s">
        <v>28</v>
      </c>
      <c r="H49" s="51"/>
      <c r="I49" s="51">
        <v>0.75</v>
      </c>
      <c r="J49" s="51">
        <v>0.25</v>
      </c>
      <c r="K49" s="51"/>
      <c r="L49" s="51"/>
      <c r="M49" s="56">
        <f t="shared" si="37"/>
        <v>1</v>
      </c>
      <c r="N49" s="63">
        <v>600000</v>
      </c>
      <c r="O49" s="48">
        <f t="shared" si="38"/>
        <v>0</v>
      </c>
      <c r="P49" s="48">
        <f t="shared" si="38"/>
        <v>450000</v>
      </c>
      <c r="Q49" s="48">
        <f t="shared" si="38"/>
        <v>150000</v>
      </c>
      <c r="R49" s="48">
        <f t="shared" si="38"/>
        <v>0</v>
      </c>
      <c r="S49" s="48">
        <f t="shared" si="38"/>
        <v>0</v>
      </c>
      <c r="T49" s="140">
        <f t="shared" si="39"/>
        <v>600000</v>
      </c>
      <c r="U49" s="155">
        <f t="shared" si="40"/>
        <v>0</v>
      </c>
      <c r="V49" s="148">
        <f t="shared" si="36"/>
        <v>0</v>
      </c>
      <c r="W49" s="148">
        <f t="shared" si="36"/>
        <v>600000</v>
      </c>
      <c r="X49" s="156">
        <f t="shared" si="36"/>
        <v>0</v>
      </c>
    </row>
    <row r="50" spans="2:24" x14ac:dyDescent="0.35">
      <c r="B50" s="170" t="s">
        <v>165</v>
      </c>
      <c r="C50" s="284"/>
      <c r="D50" s="65" t="s">
        <v>15</v>
      </c>
      <c r="E50" s="65" t="s">
        <v>265</v>
      </c>
      <c r="F50" s="66"/>
      <c r="G50" s="65" t="s">
        <v>27</v>
      </c>
      <c r="H50" s="51"/>
      <c r="I50" s="51"/>
      <c r="J50" s="51"/>
      <c r="K50" s="51"/>
      <c r="L50" s="51"/>
      <c r="M50" s="56">
        <f t="shared" si="37"/>
        <v>0</v>
      </c>
      <c r="N50" s="63">
        <v>72000</v>
      </c>
      <c r="O50" s="48">
        <f t="shared" si="38"/>
        <v>0</v>
      </c>
      <c r="P50" s="48">
        <f t="shared" si="38"/>
        <v>0</v>
      </c>
      <c r="Q50" s="48">
        <f t="shared" si="38"/>
        <v>0</v>
      </c>
      <c r="R50" s="48">
        <f t="shared" si="38"/>
        <v>0</v>
      </c>
      <c r="S50" s="48">
        <f t="shared" si="38"/>
        <v>0</v>
      </c>
      <c r="T50" s="140">
        <f t="shared" si="39"/>
        <v>0</v>
      </c>
      <c r="U50" s="155">
        <f t="shared" si="40"/>
        <v>0</v>
      </c>
      <c r="V50" s="148">
        <f t="shared" si="36"/>
        <v>0</v>
      </c>
      <c r="W50" s="148">
        <f t="shared" si="36"/>
        <v>0</v>
      </c>
      <c r="X50" s="156">
        <f t="shared" si="36"/>
        <v>0</v>
      </c>
    </row>
    <row r="51" spans="2:24" x14ac:dyDescent="0.35">
      <c r="B51" s="170" t="s">
        <v>165</v>
      </c>
      <c r="C51" s="284"/>
      <c r="D51" s="65" t="s">
        <v>21</v>
      </c>
      <c r="E51" s="65" t="s">
        <v>265</v>
      </c>
      <c r="F51" s="66"/>
      <c r="G51" s="65" t="s">
        <v>28</v>
      </c>
      <c r="H51" s="51"/>
      <c r="I51" s="51"/>
      <c r="J51" s="51"/>
      <c r="K51" s="51"/>
      <c r="L51" s="51"/>
      <c r="M51" s="56">
        <f t="shared" si="37"/>
        <v>0</v>
      </c>
      <c r="N51" s="63">
        <v>380000</v>
      </c>
      <c r="O51" s="48">
        <f t="shared" si="38"/>
        <v>0</v>
      </c>
      <c r="P51" s="48">
        <f t="shared" si="38"/>
        <v>0</v>
      </c>
      <c r="Q51" s="48">
        <f t="shared" si="38"/>
        <v>0</v>
      </c>
      <c r="R51" s="48">
        <f t="shared" si="38"/>
        <v>0</v>
      </c>
      <c r="S51" s="48">
        <f t="shared" si="38"/>
        <v>0</v>
      </c>
      <c r="T51" s="140">
        <f t="shared" si="39"/>
        <v>0</v>
      </c>
      <c r="U51" s="155">
        <f t="shared" si="40"/>
        <v>0</v>
      </c>
      <c r="V51" s="148">
        <f t="shared" si="36"/>
        <v>0</v>
      </c>
      <c r="W51" s="148">
        <f t="shared" si="36"/>
        <v>0</v>
      </c>
      <c r="X51" s="156">
        <f t="shared" si="36"/>
        <v>0</v>
      </c>
    </row>
    <row r="52" spans="2:24" ht="29" x14ac:dyDescent="0.35">
      <c r="B52" s="1" t="s">
        <v>170</v>
      </c>
      <c r="C52" s="284"/>
      <c r="D52" s="65" t="s">
        <v>34</v>
      </c>
      <c r="E52" s="65" t="s">
        <v>265</v>
      </c>
      <c r="F52" s="66">
        <v>10</v>
      </c>
      <c r="G52" s="65" t="s">
        <v>28</v>
      </c>
      <c r="H52" s="51"/>
      <c r="I52" s="51">
        <v>1</v>
      </c>
      <c r="J52" s="51"/>
      <c r="K52" s="51"/>
      <c r="L52" s="51"/>
      <c r="M52" s="56">
        <f t="shared" si="37"/>
        <v>1</v>
      </c>
      <c r="N52" s="63">
        <v>300000</v>
      </c>
      <c r="O52" s="48">
        <f t="shared" si="38"/>
        <v>0</v>
      </c>
      <c r="P52" s="48">
        <f t="shared" si="38"/>
        <v>300000</v>
      </c>
      <c r="Q52" s="48">
        <f t="shared" si="38"/>
        <v>0</v>
      </c>
      <c r="R52" s="48">
        <f t="shared" si="38"/>
        <v>0</v>
      </c>
      <c r="S52" s="48">
        <f t="shared" si="38"/>
        <v>0</v>
      </c>
      <c r="T52" s="140">
        <f t="shared" si="39"/>
        <v>300000</v>
      </c>
      <c r="U52" s="155">
        <f t="shared" si="40"/>
        <v>0</v>
      </c>
      <c r="V52" s="148">
        <f t="shared" si="36"/>
        <v>0</v>
      </c>
      <c r="W52" s="148">
        <f t="shared" si="36"/>
        <v>300000</v>
      </c>
      <c r="X52" s="156">
        <f t="shared" si="36"/>
        <v>0</v>
      </c>
    </row>
    <row r="53" spans="2:24" ht="29.5" thickBot="1" x14ac:dyDescent="0.4">
      <c r="B53" s="170" t="s">
        <v>169</v>
      </c>
      <c r="C53" s="285"/>
      <c r="D53" s="67" t="s">
        <v>107</v>
      </c>
      <c r="E53" s="65" t="s">
        <v>265</v>
      </c>
      <c r="F53" s="68"/>
      <c r="G53" s="67" t="s">
        <v>28</v>
      </c>
      <c r="H53" s="52"/>
      <c r="I53" s="52"/>
      <c r="J53" s="52"/>
      <c r="K53" s="52"/>
      <c r="L53" s="52"/>
      <c r="M53" s="57">
        <f t="shared" si="37"/>
        <v>0</v>
      </c>
      <c r="N53" s="64">
        <v>150000</v>
      </c>
      <c r="O53" s="49">
        <f t="shared" si="38"/>
        <v>0</v>
      </c>
      <c r="P53" s="49">
        <f t="shared" si="38"/>
        <v>0</v>
      </c>
      <c r="Q53" s="49">
        <f t="shared" si="38"/>
        <v>0</v>
      </c>
      <c r="R53" s="49">
        <f t="shared" si="38"/>
        <v>0</v>
      </c>
      <c r="S53" s="49">
        <f t="shared" si="38"/>
        <v>0</v>
      </c>
      <c r="T53" s="141">
        <f t="shared" si="39"/>
        <v>0</v>
      </c>
      <c r="U53" s="155">
        <f t="shared" si="40"/>
        <v>0</v>
      </c>
      <c r="V53" s="148">
        <f t="shared" si="36"/>
        <v>0</v>
      </c>
      <c r="W53" s="148">
        <f t="shared" si="36"/>
        <v>0</v>
      </c>
      <c r="X53" s="156">
        <f t="shared" si="36"/>
        <v>0</v>
      </c>
    </row>
    <row r="54" spans="2:24" ht="15" thickBot="1" x14ac:dyDescent="0.4">
      <c r="C54" s="9"/>
      <c r="D54" s="9"/>
      <c r="E54" s="9"/>
      <c r="F54" s="9"/>
      <c r="G54" s="9"/>
      <c r="H54" s="9"/>
      <c r="I54" s="9"/>
      <c r="J54" s="9"/>
      <c r="K54" s="9"/>
      <c r="L54" s="9"/>
      <c r="M54" s="9"/>
      <c r="N54" s="37"/>
      <c r="O54" s="37"/>
      <c r="P54" s="37"/>
      <c r="Q54" s="37"/>
      <c r="R54" s="37"/>
      <c r="S54" s="37"/>
      <c r="T54" s="37"/>
      <c r="U54" s="37"/>
      <c r="V54" s="37"/>
      <c r="W54" s="37"/>
      <c r="X54" s="37"/>
    </row>
    <row r="55" spans="2:24" s="45" customFormat="1" ht="15" thickBot="1" x14ac:dyDescent="0.4">
      <c r="C55" s="47"/>
      <c r="D55" s="46"/>
      <c r="E55" s="46"/>
      <c r="F55" s="46"/>
      <c r="G55" s="46"/>
      <c r="H55" s="46"/>
      <c r="I55" s="46"/>
      <c r="J55" s="46"/>
      <c r="K55" s="46"/>
      <c r="L55" s="87"/>
      <c r="M55" s="88"/>
      <c r="N55" s="89" t="s">
        <v>95</v>
      </c>
      <c r="O55" s="83">
        <f>SUM(O42:O53)</f>
        <v>800000</v>
      </c>
      <c r="P55" s="84">
        <f t="shared" ref="P55:S55" si="41">SUM(P42:P53)</f>
        <v>1950000</v>
      </c>
      <c r="Q55" s="84">
        <f t="shared" si="41"/>
        <v>150000</v>
      </c>
      <c r="R55" s="84">
        <f t="shared" si="41"/>
        <v>0</v>
      </c>
      <c r="S55" s="85">
        <f t="shared" si="41"/>
        <v>0</v>
      </c>
      <c r="T55" s="61">
        <f>SUM(O55:S55)</f>
        <v>2900000</v>
      </c>
      <c r="U55" s="147">
        <f>SUM(U42:U53)</f>
        <v>0</v>
      </c>
      <c r="V55" s="149">
        <f t="shared" ref="V55:X55" si="42">SUM(V42:V53)</f>
        <v>0</v>
      </c>
      <c r="W55" s="149">
        <f t="shared" si="42"/>
        <v>2900000</v>
      </c>
      <c r="X55" s="150">
        <f t="shared" si="42"/>
        <v>0</v>
      </c>
    </row>
    <row r="56" spans="2:24" x14ac:dyDescent="0.35">
      <c r="C56" s="9"/>
      <c r="D56" s="9"/>
      <c r="E56" s="9"/>
      <c r="F56" s="9"/>
      <c r="G56" s="9"/>
      <c r="H56" s="9"/>
      <c r="I56" s="9"/>
      <c r="J56" s="9"/>
      <c r="K56" s="9"/>
      <c r="L56" s="9"/>
      <c r="M56" s="9"/>
      <c r="N56" s="9"/>
      <c r="O56" s="3"/>
      <c r="P56" s="3"/>
      <c r="Q56" s="3"/>
      <c r="R56" s="3"/>
      <c r="S56" s="3"/>
      <c r="T56" s="12"/>
      <c r="U56" s="12"/>
      <c r="V56" s="12"/>
      <c r="W56" s="12"/>
      <c r="X56" s="12"/>
    </row>
    <row r="57" spans="2:24" ht="15" thickBot="1" x14ac:dyDescent="0.4">
      <c r="C57" s="16"/>
      <c r="D57" s="9"/>
      <c r="E57" s="9"/>
      <c r="F57" s="9"/>
      <c r="G57" s="9"/>
      <c r="H57" s="9"/>
      <c r="I57" s="9"/>
      <c r="J57" s="5"/>
      <c r="K57" s="5"/>
      <c r="L57" s="5"/>
      <c r="M57" s="5"/>
      <c r="N57" s="4"/>
      <c r="O57" s="41"/>
      <c r="P57" s="41"/>
      <c r="Q57" s="41"/>
      <c r="R57" s="41"/>
      <c r="S57" s="41"/>
      <c r="T57" s="42"/>
      <c r="U57" s="42"/>
      <c r="V57" s="42"/>
      <c r="W57" s="42"/>
      <c r="X57" s="42"/>
    </row>
    <row r="58" spans="2:24" s="71" customFormat="1" ht="43.5" x14ac:dyDescent="0.35">
      <c r="C58" s="75" t="s">
        <v>92</v>
      </c>
      <c r="D58" s="74" t="s">
        <v>7</v>
      </c>
      <c r="E58" s="74" t="str">
        <f>E19</f>
        <v>Fin.
AFD, EU, GCF, GVNT</v>
      </c>
      <c r="F58" s="74" t="str">
        <f>F19</f>
        <v>Durée de vie (an)</v>
      </c>
      <c r="G58" s="74" t="s">
        <v>26</v>
      </c>
      <c r="H58" s="72">
        <v>2021</v>
      </c>
      <c r="I58" s="72">
        <v>2022</v>
      </c>
      <c r="J58" s="72">
        <v>2023</v>
      </c>
      <c r="K58" s="72">
        <v>2024</v>
      </c>
      <c r="L58" s="72">
        <v>2025</v>
      </c>
      <c r="M58" s="69" t="s">
        <v>36</v>
      </c>
      <c r="N58" s="62" t="s">
        <v>37</v>
      </c>
      <c r="O58" s="73" t="s">
        <v>9</v>
      </c>
      <c r="P58" s="73" t="s">
        <v>10</v>
      </c>
      <c r="Q58" s="73" t="s">
        <v>11</v>
      </c>
      <c r="R58" s="73" t="s">
        <v>12</v>
      </c>
      <c r="S58" s="73" t="s">
        <v>39</v>
      </c>
      <c r="T58" s="151" t="s">
        <v>22</v>
      </c>
      <c r="U58" s="160"/>
      <c r="V58" s="161"/>
      <c r="W58" s="161"/>
      <c r="X58" s="162"/>
    </row>
    <row r="59" spans="2:24" ht="23.5" customHeight="1" x14ac:dyDescent="0.35">
      <c r="B59" s="170" t="s">
        <v>166</v>
      </c>
      <c r="C59" s="288" t="s">
        <v>40</v>
      </c>
      <c r="D59" s="65" t="s">
        <v>45</v>
      </c>
      <c r="E59" s="65" t="s">
        <v>264</v>
      </c>
      <c r="F59" s="66"/>
      <c r="G59" s="65" t="s">
        <v>32</v>
      </c>
      <c r="H59" s="51">
        <v>1</v>
      </c>
      <c r="I59" s="51">
        <v>1</v>
      </c>
      <c r="J59" s="51"/>
      <c r="K59" s="51"/>
      <c r="L59" s="51"/>
      <c r="M59" s="56">
        <f t="shared" ref="M59" si="43">SUM(H59:L59)</f>
        <v>2</v>
      </c>
      <c r="N59" s="63">
        <v>300000</v>
      </c>
      <c r="O59" s="48">
        <f>H59*$N59</f>
        <v>300000</v>
      </c>
      <c r="P59" s="48">
        <f>I59*$N59</f>
        <v>300000</v>
      </c>
      <c r="Q59" s="48">
        <f>J59*$N59</f>
        <v>0</v>
      </c>
      <c r="R59" s="48">
        <f>K59*$N59</f>
        <v>0</v>
      </c>
      <c r="S59" s="48">
        <f>L59*$N59</f>
        <v>0</v>
      </c>
      <c r="T59" s="59">
        <f>SUM(O59:S59)</f>
        <v>600000</v>
      </c>
      <c r="U59" s="155">
        <f>IF($E59=U$3,$T59,0)</f>
        <v>0</v>
      </c>
      <c r="V59" s="148">
        <f t="shared" ref="V59:X65" si="44">IF($E59=V$3,$T59,0)</f>
        <v>600000</v>
      </c>
      <c r="W59" s="148">
        <f t="shared" si="44"/>
        <v>0</v>
      </c>
      <c r="X59" s="156">
        <f t="shared" si="44"/>
        <v>0</v>
      </c>
    </row>
    <row r="60" spans="2:24" x14ac:dyDescent="0.35">
      <c r="B60" s="170" t="s">
        <v>166</v>
      </c>
      <c r="C60" s="284"/>
      <c r="D60" s="76" t="s">
        <v>42</v>
      </c>
      <c r="E60" s="65" t="s">
        <v>264</v>
      </c>
      <c r="F60" s="77"/>
      <c r="G60" s="76" t="s">
        <v>27</v>
      </c>
      <c r="H60" s="78">
        <v>10</v>
      </c>
      <c r="I60" s="78">
        <v>10</v>
      </c>
      <c r="J60" s="78">
        <v>10</v>
      </c>
      <c r="K60" s="78">
        <v>10</v>
      </c>
      <c r="L60" s="78">
        <v>10</v>
      </c>
      <c r="M60" s="79">
        <f t="shared" ref="M60:M64" si="45">SUM(H60:L60)</f>
        <v>50</v>
      </c>
      <c r="N60" s="80">
        <v>15000</v>
      </c>
      <c r="O60" s="81">
        <f t="shared" ref="O60:S65" si="46">H60*$N60</f>
        <v>150000</v>
      </c>
      <c r="P60" s="81">
        <f t="shared" si="46"/>
        <v>150000</v>
      </c>
      <c r="Q60" s="81">
        <f t="shared" si="46"/>
        <v>150000</v>
      </c>
      <c r="R60" s="81">
        <f t="shared" si="46"/>
        <v>150000</v>
      </c>
      <c r="S60" s="81">
        <f t="shared" si="46"/>
        <v>150000</v>
      </c>
      <c r="T60" s="143">
        <f t="shared" ref="T60:T65" si="47">SUM(O60:S60)</f>
        <v>750000</v>
      </c>
      <c r="U60" s="155">
        <f t="shared" ref="U60:U65" si="48">IF($E60=U$3,$T60,0)</f>
        <v>0</v>
      </c>
      <c r="V60" s="148">
        <f t="shared" si="44"/>
        <v>750000</v>
      </c>
      <c r="W60" s="148">
        <f t="shared" si="44"/>
        <v>0</v>
      </c>
      <c r="X60" s="156">
        <f t="shared" si="44"/>
        <v>0</v>
      </c>
    </row>
    <row r="61" spans="2:24" ht="30" customHeight="1" x14ac:dyDescent="0.35">
      <c r="B61" s="170" t="s">
        <v>166</v>
      </c>
      <c r="C61" s="284"/>
      <c r="D61" s="76" t="s">
        <v>43</v>
      </c>
      <c r="E61" s="65" t="s">
        <v>264</v>
      </c>
      <c r="F61" s="77"/>
      <c r="G61" s="76" t="s">
        <v>27</v>
      </c>
      <c r="H61" s="78"/>
      <c r="I61" s="78"/>
      <c r="J61" s="78"/>
      <c r="K61" s="78"/>
      <c r="L61" s="78"/>
      <c r="M61" s="79">
        <f t="shared" si="45"/>
        <v>0</v>
      </c>
      <c r="N61" s="80">
        <v>5000</v>
      </c>
      <c r="O61" s="81">
        <f t="shared" si="46"/>
        <v>0</v>
      </c>
      <c r="P61" s="81">
        <f t="shared" si="46"/>
        <v>0</v>
      </c>
      <c r="Q61" s="81">
        <f t="shared" si="46"/>
        <v>0</v>
      </c>
      <c r="R61" s="81">
        <f t="shared" si="46"/>
        <v>0</v>
      </c>
      <c r="S61" s="81">
        <f t="shared" si="46"/>
        <v>0</v>
      </c>
      <c r="T61" s="143">
        <f t="shared" si="47"/>
        <v>0</v>
      </c>
      <c r="U61" s="155">
        <f t="shared" si="48"/>
        <v>0</v>
      </c>
      <c r="V61" s="148">
        <f t="shared" si="44"/>
        <v>0</v>
      </c>
      <c r="W61" s="148">
        <f t="shared" si="44"/>
        <v>0</v>
      </c>
      <c r="X61" s="156">
        <f t="shared" si="44"/>
        <v>0</v>
      </c>
    </row>
    <row r="62" spans="2:24" x14ac:dyDescent="0.35">
      <c r="B62" s="170" t="s">
        <v>166</v>
      </c>
      <c r="C62" s="284"/>
      <c r="D62" s="76" t="s">
        <v>44</v>
      </c>
      <c r="E62" s="65" t="s">
        <v>264</v>
      </c>
      <c r="F62" s="77"/>
      <c r="G62" s="76" t="s">
        <v>27</v>
      </c>
      <c r="H62" s="78">
        <v>1</v>
      </c>
      <c r="I62" s="78">
        <v>1</v>
      </c>
      <c r="J62" s="78"/>
      <c r="K62" s="78"/>
      <c r="L62" s="78"/>
      <c r="M62" s="79">
        <f t="shared" si="45"/>
        <v>2</v>
      </c>
      <c r="N62" s="80">
        <v>50000</v>
      </c>
      <c r="O62" s="81">
        <f t="shared" si="46"/>
        <v>50000</v>
      </c>
      <c r="P62" s="81">
        <f t="shared" si="46"/>
        <v>50000</v>
      </c>
      <c r="Q62" s="81">
        <f t="shared" si="46"/>
        <v>0</v>
      </c>
      <c r="R62" s="81">
        <f t="shared" si="46"/>
        <v>0</v>
      </c>
      <c r="S62" s="81">
        <f t="shared" si="46"/>
        <v>0</v>
      </c>
      <c r="T62" s="143">
        <f t="shared" si="47"/>
        <v>100000</v>
      </c>
      <c r="U62" s="155">
        <f t="shared" si="48"/>
        <v>0</v>
      </c>
      <c r="V62" s="148">
        <f t="shared" si="44"/>
        <v>100000</v>
      </c>
      <c r="W62" s="148">
        <f t="shared" si="44"/>
        <v>0</v>
      </c>
      <c r="X62" s="156">
        <f t="shared" si="44"/>
        <v>0</v>
      </c>
    </row>
    <row r="63" spans="2:24" ht="43.5" x14ac:dyDescent="0.35">
      <c r="B63" s="170" t="s">
        <v>158</v>
      </c>
      <c r="C63" s="284"/>
      <c r="D63" s="76" t="s">
        <v>71</v>
      </c>
      <c r="E63" s="65" t="s">
        <v>264</v>
      </c>
      <c r="F63" s="77"/>
      <c r="G63" s="76" t="s">
        <v>32</v>
      </c>
      <c r="H63" s="78"/>
      <c r="I63" s="78">
        <v>1</v>
      </c>
      <c r="J63" s="78"/>
      <c r="K63" s="78"/>
      <c r="L63" s="78"/>
      <c r="M63" s="79">
        <f t="shared" si="45"/>
        <v>1</v>
      </c>
      <c r="N63" s="80">
        <v>300000</v>
      </c>
      <c r="O63" s="81">
        <f t="shared" si="46"/>
        <v>0</v>
      </c>
      <c r="P63" s="81">
        <f t="shared" si="46"/>
        <v>300000</v>
      </c>
      <c r="Q63" s="81">
        <f t="shared" si="46"/>
        <v>0</v>
      </c>
      <c r="R63" s="81">
        <f t="shared" si="46"/>
        <v>0</v>
      </c>
      <c r="S63" s="81">
        <f t="shared" si="46"/>
        <v>0</v>
      </c>
      <c r="T63" s="143">
        <f t="shared" si="47"/>
        <v>300000</v>
      </c>
      <c r="U63" s="155">
        <f t="shared" si="48"/>
        <v>0</v>
      </c>
      <c r="V63" s="148">
        <f t="shared" si="44"/>
        <v>300000</v>
      </c>
      <c r="W63" s="148">
        <f t="shared" si="44"/>
        <v>0</v>
      </c>
      <c r="X63" s="156">
        <f t="shared" si="44"/>
        <v>0</v>
      </c>
    </row>
    <row r="64" spans="2:24" ht="43.5" x14ac:dyDescent="0.35">
      <c r="B64" s="170" t="s">
        <v>167</v>
      </c>
      <c r="C64" s="284"/>
      <c r="D64" s="76" t="s">
        <v>46</v>
      </c>
      <c r="E64" s="65" t="s">
        <v>264</v>
      </c>
      <c r="F64" s="77"/>
      <c r="G64" s="76" t="s">
        <v>32</v>
      </c>
      <c r="H64" s="78"/>
      <c r="I64" s="78"/>
      <c r="J64" s="78">
        <v>1</v>
      </c>
      <c r="K64" s="78"/>
      <c r="L64" s="78"/>
      <c r="M64" s="79">
        <f t="shared" si="45"/>
        <v>1</v>
      </c>
      <c r="N64" s="80">
        <v>300000</v>
      </c>
      <c r="O64" s="81">
        <f t="shared" si="46"/>
        <v>0</v>
      </c>
      <c r="P64" s="81">
        <f t="shared" si="46"/>
        <v>0</v>
      </c>
      <c r="Q64" s="81">
        <f t="shared" si="46"/>
        <v>300000</v>
      </c>
      <c r="R64" s="81">
        <f t="shared" si="46"/>
        <v>0</v>
      </c>
      <c r="S64" s="81">
        <f t="shared" si="46"/>
        <v>0</v>
      </c>
      <c r="T64" s="143">
        <f t="shared" si="47"/>
        <v>300000</v>
      </c>
      <c r="U64" s="155">
        <f t="shared" si="48"/>
        <v>0</v>
      </c>
      <c r="V64" s="148">
        <f t="shared" si="44"/>
        <v>300000</v>
      </c>
      <c r="W64" s="148">
        <f t="shared" si="44"/>
        <v>0</v>
      </c>
      <c r="X64" s="156">
        <f t="shared" si="44"/>
        <v>0</v>
      </c>
    </row>
    <row r="65" spans="2:24" ht="76.25" customHeight="1" thickBot="1" x14ac:dyDescent="0.4">
      <c r="B65" s="170" t="s">
        <v>174</v>
      </c>
      <c r="C65" s="285"/>
      <c r="D65" s="67" t="s">
        <v>47</v>
      </c>
      <c r="E65" s="65" t="s">
        <v>264</v>
      </c>
      <c r="F65" s="68"/>
      <c r="G65" s="67" t="s">
        <v>32</v>
      </c>
      <c r="H65" s="52"/>
      <c r="I65" s="52"/>
      <c r="J65" s="52"/>
      <c r="K65" s="52">
        <v>1</v>
      </c>
      <c r="L65" s="52"/>
      <c r="M65" s="57">
        <f>SUM(H65:L65)</f>
        <v>1</v>
      </c>
      <c r="N65" s="64">
        <v>300000</v>
      </c>
      <c r="O65" s="49">
        <f t="shared" si="46"/>
        <v>0</v>
      </c>
      <c r="P65" s="49">
        <f t="shared" si="46"/>
        <v>0</v>
      </c>
      <c r="Q65" s="49">
        <f t="shared" si="46"/>
        <v>0</v>
      </c>
      <c r="R65" s="49">
        <f t="shared" si="46"/>
        <v>300000</v>
      </c>
      <c r="S65" s="49">
        <f t="shared" si="46"/>
        <v>0</v>
      </c>
      <c r="T65" s="141">
        <f t="shared" si="47"/>
        <v>300000</v>
      </c>
      <c r="U65" s="155">
        <f t="shared" si="48"/>
        <v>0</v>
      </c>
      <c r="V65" s="148">
        <f t="shared" si="44"/>
        <v>300000</v>
      </c>
      <c r="W65" s="148">
        <f t="shared" si="44"/>
        <v>0</v>
      </c>
      <c r="X65" s="156">
        <f t="shared" si="44"/>
        <v>0</v>
      </c>
    </row>
    <row r="66" spans="2:24" ht="15" thickBot="1" x14ac:dyDescent="0.4">
      <c r="B66" s="45"/>
      <c r="C66" s="16"/>
      <c r="D66" s="9"/>
      <c r="E66" s="9"/>
      <c r="F66" s="9"/>
      <c r="G66" s="9"/>
      <c r="H66" s="9"/>
      <c r="I66" s="9"/>
      <c r="J66" s="5"/>
      <c r="K66" s="5"/>
      <c r="L66" s="5"/>
      <c r="M66" s="5"/>
      <c r="N66" s="4"/>
      <c r="O66" s="39"/>
      <c r="P66" s="39"/>
      <c r="Q66" s="40"/>
      <c r="R66" s="40"/>
      <c r="S66" s="40"/>
      <c r="T66" s="41"/>
      <c r="U66" s="41"/>
      <c r="V66" s="41"/>
      <c r="W66" s="41"/>
      <c r="X66" s="41"/>
    </row>
    <row r="67" spans="2:24" s="45" customFormat="1" ht="15" thickBot="1" x14ac:dyDescent="0.4">
      <c r="B67" s="2"/>
      <c r="C67" s="47"/>
      <c r="D67" s="46"/>
      <c r="E67" s="46"/>
      <c r="F67" s="46"/>
      <c r="G67" s="46"/>
      <c r="H67" s="46"/>
      <c r="I67" s="46"/>
      <c r="J67" s="46"/>
      <c r="K67" s="46"/>
      <c r="L67" s="87"/>
      <c r="M67" s="88"/>
      <c r="N67" s="88" t="s">
        <v>97</v>
      </c>
      <c r="O67" s="167">
        <f>SUM(O59:O65)</f>
        <v>500000</v>
      </c>
      <c r="P67" s="168">
        <f t="shared" ref="P67:S67" si="49">SUM(P59:P65)</f>
        <v>800000</v>
      </c>
      <c r="Q67" s="168">
        <f t="shared" si="49"/>
        <v>450000</v>
      </c>
      <c r="R67" s="168">
        <f t="shared" si="49"/>
        <v>450000</v>
      </c>
      <c r="S67" s="169">
        <f t="shared" si="49"/>
        <v>150000</v>
      </c>
      <c r="T67" s="166">
        <f>SUM(O67:S67)</f>
        <v>2350000</v>
      </c>
      <c r="U67" s="147">
        <f>SUM(U59:U65)</f>
        <v>0</v>
      </c>
      <c r="V67" s="149">
        <f>SUM(V59:V65)</f>
        <v>2350000</v>
      </c>
      <c r="W67" s="149">
        <f>SUM(W59:W65)</f>
        <v>0</v>
      </c>
      <c r="X67" s="150">
        <f>SUM(X59:X65)</f>
        <v>0</v>
      </c>
    </row>
    <row r="68" spans="2:24" s="2" customFormat="1" x14ac:dyDescent="0.35">
      <c r="B68" s="1"/>
      <c r="C68" s="16"/>
      <c r="D68" s="9"/>
      <c r="E68" s="9"/>
      <c r="F68" s="9"/>
      <c r="G68" s="9"/>
      <c r="H68" s="9"/>
      <c r="I68" s="9"/>
      <c r="J68" s="5"/>
      <c r="K68" s="5"/>
      <c r="L68" s="5"/>
      <c r="M68" s="5"/>
      <c r="N68" s="4"/>
      <c r="O68" s="41"/>
      <c r="P68" s="41"/>
      <c r="Q68" s="41"/>
      <c r="R68" s="41"/>
      <c r="S68" s="41"/>
      <c r="T68" s="42"/>
      <c r="U68" s="42"/>
      <c r="V68" s="42"/>
      <c r="W68" s="42"/>
      <c r="X68" s="42"/>
    </row>
    <row r="69" spans="2:24" ht="15" thickBot="1" x14ac:dyDescent="0.4">
      <c r="B69" s="71"/>
      <c r="C69" s="16"/>
      <c r="D69" s="9"/>
      <c r="E69" s="9"/>
      <c r="F69" s="9"/>
      <c r="G69" s="9"/>
      <c r="H69" s="9"/>
      <c r="I69" s="9"/>
      <c r="J69" s="5"/>
      <c r="K69" s="5"/>
      <c r="L69" s="5"/>
      <c r="M69" s="5"/>
      <c r="N69" s="4"/>
      <c r="O69" s="41"/>
      <c r="P69" s="41"/>
      <c r="Q69" s="41"/>
      <c r="R69" s="41"/>
      <c r="S69" s="41"/>
      <c r="T69" s="42"/>
      <c r="U69" s="42"/>
      <c r="V69" s="42"/>
      <c r="W69" s="42"/>
      <c r="X69" s="42"/>
    </row>
    <row r="70" spans="2:24" s="71" customFormat="1" ht="43.5" x14ac:dyDescent="0.35">
      <c r="B70" s="1"/>
      <c r="C70" s="75" t="s">
        <v>92</v>
      </c>
      <c r="D70" s="74" t="s">
        <v>7</v>
      </c>
      <c r="E70" s="74" t="str">
        <f>E19</f>
        <v>Fin.
AFD, EU, GCF, GVNT</v>
      </c>
      <c r="F70" s="74" t="str">
        <f>F19</f>
        <v>Durée de vie (an)</v>
      </c>
      <c r="G70" s="74" t="s">
        <v>26</v>
      </c>
      <c r="H70" s="72">
        <v>2021</v>
      </c>
      <c r="I70" s="72">
        <v>2022</v>
      </c>
      <c r="J70" s="72">
        <v>2023</v>
      </c>
      <c r="K70" s="72">
        <v>2024</v>
      </c>
      <c r="L70" s="72">
        <v>2025</v>
      </c>
      <c r="M70" s="69" t="s">
        <v>36</v>
      </c>
      <c r="N70" s="62" t="s">
        <v>37</v>
      </c>
      <c r="O70" s="73" t="s">
        <v>9</v>
      </c>
      <c r="P70" s="73" t="s">
        <v>10</v>
      </c>
      <c r="Q70" s="73" t="s">
        <v>11</v>
      </c>
      <c r="R70" s="73" t="s">
        <v>12</v>
      </c>
      <c r="S70" s="73" t="s">
        <v>39</v>
      </c>
      <c r="T70" s="151" t="s">
        <v>22</v>
      </c>
      <c r="U70" s="160"/>
      <c r="V70" s="161"/>
      <c r="W70" s="161"/>
      <c r="X70" s="162"/>
    </row>
    <row r="71" spans="2:24" x14ac:dyDescent="0.35">
      <c r="B71" s="170" t="s">
        <v>166</v>
      </c>
      <c r="C71" s="288" t="s">
        <v>41</v>
      </c>
      <c r="D71" s="65" t="s">
        <v>60</v>
      </c>
      <c r="E71" s="65" t="s">
        <v>264</v>
      </c>
      <c r="F71" s="66"/>
      <c r="G71" s="65" t="s">
        <v>56</v>
      </c>
      <c r="H71" s="51"/>
      <c r="I71" s="51">
        <v>0.25</v>
      </c>
      <c r="J71" s="51">
        <v>0.75</v>
      </c>
      <c r="K71" s="51"/>
      <c r="L71" s="51"/>
      <c r="M71" s="116">
        <f>SUM(H71:L71)</f>
        <v>1</v>
      </c>
      <c r="N71" s="63">
        <v>500000</v>
      </c>
      <c r="O71" s="48">
        <f>H71*$N71</f>
        <v>0</v>
      </c>
      <c r="P71" s="48">
        <f>I71*$N71</f>
        <v>125000</v>
      </c>
      <c r="Q71" s="48">
        <f>J71*$N71</f>
        <v>375000</v>
      </c>
      <c r="R71" s="48">
        <f>K71*$N71</f>
        <v>0</v>
      </c>
      <c r="S71" s="48">
        <f>L71*$N71</f>
        <v>0</v>
      </c>
      <c r="T71" s="140">
        <f>SUM(O71:S71)</f>
        <v>500000</v>
      </c>
      <c r="U71" s="155">
        <f>IF($E71=U$3,$T71,0)</f>
        <v>0</v>
      </c>
      <c r="V71" s="148">
        <f t="shared" ref="V71:X75" si="50">IF($E71=V$3,$T71,0)</f>
        <v>500000</v>
      </c>
      <c r="W71" s="148">
        <f t="shared" si="50"/>
        <v>0</v>
      </c>
      <c r="X71" s="156">
        <f t="shared" si="50"/>
        <v>0</v>
      </c>
    </row>
    <row r="72" spans="2:24" ht="29" x14ac:dyDescent="0.35">
      <c r="B72" s="170" t="s">
        <v>167</v>
      </c>
      <c r="C72" s="284"/>
      <c r="D72" s="76" t="s">
        <v>57</v>
      </c>
      <c r="E72" s="76" t="s">
        <v>264</v>
      </c>
      <c r="F72" s="77"/>
      <c r="G72" s="76" t="s">
        <v>56</v>
      </c>
      <c r="H72" s="78">
        <v>0.5</v>
      </c>
      <c r="I72" s="78">
        <v>0.5</v>
      </c>
      <c r="J72" s="78"/>
      <c r="K72" s="78"/>
      <c r="L72" s="78"/>
      <c r="M72" s="116">
        <f t="shared" ref="M72:M74" si="51">SUM(H72:L72)</f>
        <v>1</v>
      </c>
      <c r="N72" s="80">
        <v>360000</v>
      </c>
      <c r="O72" s="81">
        <f t="shared" ref="O72:S75" si="52">H72*$N72</f>
        <v>180000</v>
      </c>
      <c r="P72" s="81">
        <f t="shared" si="52"/>
        <v>180000</v>
      </c>
      <c r="Q72" s="81">
        <f t="shared" si="52"/>
        <v>0</v>
      </c>
      <c r="R72" s="81">
        <f t="shared" si="52"/>
        <v>0</v>
      </c>
      <c r="S72" s="81">
        <f t="shared" si="52"/>
        <v>0</v>
      </c>
      <c r="T72" s="143">
        <f t="shared" ref="T72:T75" si="53">SUM(O72:S72)</f>
        <v>360000</v>
      </c>
      <c r="U72" s="155">
        <f t="shared" ref="U72:U75" si="54">IF($E72=U$3,$T72,0)</f>
        <v>0</v>
      </c>
      <c r="V72" s="148">
        <f t="shared" si="50"/>
        <v>360000</v>
      </c>
      <c r="W72" s="148">
        <f t="shared" si="50"/>
        <v>0</v>
      </c>
      <c r="X72" s="156">
        <f t="shared" si="50"/>
        <v>0</v>
      </c>
    </row>
    <row r="73" spans="2:24" x14ac:dyDescent="0.35">
      <c r="B73" s="170" t="s">
        <v>169</v>
      </c>
      <c r="C73" s="284"/>
      <c r="D73" s="76" t="s">
        <v>244</v>
      </c>
      <c r="E73" s="65" t="s">
        <v>265</v>
      </c>
      <c r="F73" s="77"/>
      <c r="G73" s="76" t="s">
        <v>303</v>
      </c>
      <c r="H73" s="78"/>
      <c r="I73" s="78">
        <v>1</v>
      </c>
      <c r="J73" s="51">
        <v>1</v>
      </c>
      <c r="K73" s="51">
        <v>1</v>
      </c>
      <c r="L73" s="78"/>
      <c r="M73" s="116">
        <f t="shared" si="51"/>
        <v>3</v>
      </c>
      <c r="N73" s="80">
        <v>150000</v>
      </c>
      <c r="O73" s="81">
        <f t="shared" si="52"/>
        <v>0</v>
      </c>
      <c r="P73" s="81">
        <f t="shared" si="52"/>
        <v>150000</v>
      </c>
      <c r="Q73" s="81">
        <f t="shared" si="52"/>
        <v>150000</v>
      </c>
      <c r="R73" s="81">
        <f t="shared" si="52"/>
        <v>150000</v>
      </c>
      <c r="S73" s="81">
        <f t="shared" si="52"/>
        <v>0</v>
      </c>
      <c r="T73" s="143">
        <f t="shared" si="53"/>
        <v>450000</v>
      </c>
      <c r="U73" s="155">
        <f t="shared" si="54"/>
        <v>0</v>
      </c>
      <c r="V73" s="148">
        <f t="shared" si="50"/>
        <v>0</v>
      </c>
      <c r="W73" s="148">
        <f t="shared" si="50"/>
        <v>450000</v>
      </c>
      <c r="X73" s="156">
        <f t="shared" si="50"/>
        <v>0</v>
      </c>
    </row>
    <row r="74" spans="2:24" x14ac:dyDescent="0.35">
      <c r="B74" s="170" t="s">
        <v>169</v>
      </c>
      <c r="C74" s="284"/>
      <c r="D74" s="76" t="s">
        <v>246</v>
      </c>
      <c r="E74" s="65" t="s">
        <v>265</v>
      </c>
      <c r="F74" s="77"/>
      <c r="G74" s="76" t="s">
        <v>303</v>
      </c>
      <c r="H74" s="78"/>
      <c r="I74" s="78"/>
      <c r="J74" s="114"/>
      <c r="K74" s="78"/>
      <c r="L74" s="114"/>
      <c r="M74" s="116">
        <f t="shared" si="51"/>
        <v>0</v>
      </c>
      <c r="N74" s="80">
        <v>150000</v>
      </c>
      <c r="O74" s="81">
        <f t="shared" si="52"/>
        <v>0</v>
      </c>
      <c r="P74" s="81">
        <f t="shared" si="52"/>
        <v>0</v>
      </c>
      <c r="Q74" s="81">
        <f t="shared" si="52"/>
        <v>0</v>
      </c>
      <c r="R74" s="81">
        <f t="shared" si="52"/>
        <v>0</v>
      </c>
      <c r="S74" s="81">
        <f t="shared" si="52"/>
        <v>0</v>
      </c>
      <c r="T74" s="143">
        <f t="shared" si="53"/>
        <v>0</v>
      </c>
      <c r="U74" s="155">
        <f t="shared" si="54"/>
        <v>0</v>
      </c>
      <c r="V74" s="148">
        <f t="shared" si="50"/>
        <v>0</v>
      </c>
      <c r="W74" s="148">
        <f t="shared" si="50"/>
        <v>0</v>
      </c>
      <c r="X74" s="156">
        <f t="shared" si="50"/>
        <v>0</v>
      </c>
    </row>
    <row r="75" spans="2:24" ht="15" thickBot="1" x14ac:dyDescent="0.4">
      <c r="B75" s="170" t="s">
        <v>169</v>
      </c>
      <c r="C75" s="285"/>
      <c r="D75" s="67" t="s">
        <v>247</v>
      </c>
      <c r="E75" s="65" t="s">
        <v>265</v>
      </c>
      <c r="F75" s="68"/>
      <c r="G75" s="76" t="s">
        <v>303</v>
      </c>
      <c r="H75" s="52">
        <v>1</v>
      </c>
      <c r="I75" s="52">
        <v>1</v>
      </c>
      <c r="J75" s="52">
        <v>1</v>
      </c>
      <c r="K75" s="115"/>
      <c r="L75" s="52"/>
      <c r="M75" s="117">
        <f>SUM(H75:L75)</f>
        <v>3</v>
      </c>
      <c r="N75" s="64">
        <v>150000</v>
      </c>
      <c r="O75" s="49">
        <f t="shared" si="52"/>
        <v>150000</v>
      </c>
      <c r="P75" s="49">
        <f t="shared" si="52"/>
        <v>150000</v>
      </c>
      <c r="Q75" s="49">
        <f t="shared" si="52"/>
        <v>150000</v>
      </c>
      <c r="R75" s="49">
        <f t="shared" si="52"/>
        <v>0</v>
      </c>
      <c r="S75" s="49">
        <f t="shared" si="52"/>
        <v>0</v>
      </c>
      <c r="T75" s="141">
        <f t="shared" si="53"/>
        <v>450000</v>
      </c>
      <c r="U75" s="155">
        <f t="shared" si="54"/>
        <v>0</v>
      </c>
      <c r="V75" s="148">
        <f t="shared" si="50"/>
        <v>0</v>
      </c>
      <c r="W75" s="148">
        <f t="shared" si="50"/>
        <v>450000</v>
      </c>
      <c r="X75" s="156">
        <f t="shared" si="50"/>
        <v>0</v>
      </c>
    </row>
    <row r="76" spans="2:24" ht="15" thickBot="1" x14ac:dyDescent="0.4">
      <c r="B76" s="45"/>
      <c r="C76" s="16"/>
      <c r="D76" s="9"/>
      <c r="E76" s="9"/>
      <c r="F76" s="9"/>
      <c r="G76" s="9"/>
      <c r="H76" s="9"/>
      <c r="I76" s="9"/>
      <c r="J76" s="5"/>
      <c r="K76" s="5"/>
      <c r="L76" s="5"/>
      <c r="M76" s="5"/>
      <c r="N76" s="4"/>
      <c r="O76" s="39"/>
      <c r="P76" s="39"/>
      <c r="Q76" s="40"/>
      <c r="R76" s="40"/>
      <c r="S76" s="40"/>
      <c r="T76" s="41"/>
      <c r="U76" s="41"/>
      <c r="V76" s="41"/>
      <c r="W76" s="41"/>
      <c r="X76" s="41"/>
    </row>
    <row r="77" spans="2:24" s="45" customFormat="1" ht="15" thickBot="1" x14ac:dyDescent="0.4">
      <c r="B77" s="2"/>
      <c r="C77" s="47"/>
      <c r="D77" s="46"/>
      <c r="E77" s="46"/>
      <c r="F77" s="46"/>
      <c r="G77" s="46"/>
      <c r="H77" s="46"/>
      <c r="I77" s="46"/>
      <c r="J77" s="46"/>
      <c r="K77" s="46"/>
      <c r="L77" s="87"/>
      <c r="M77" s="88"/>
      <c r="N77" s="89" t="s">
        <v>98</v>
      </c>
      <c r="O77" s="83">
        <f>SUM(O71:O75)</f>
        <v>330000</v>
      </c>
      <c r="P77" s="84">
        <f>SUM(P71:P75)</f>
        <v>605000</v>
      </c>
      <c r="Q77" s="84">
        <f>SUM(Q71:Q75)</f>
        <v>675000</v>
      </c>
      <c r="R77" s="84">
        <f>SUM(R71:R75)</f>
        <v>150000</v>
      </c>
      <c r="S77" s="85">
        <f>SUM(S71:S75)</f>
        <v>0</v>
      </c>
      <c r="T77" s="61">
        <f>SUM(O77:S77)</f>
        <v>1760000</v>
      </c>
      <c r="U77" s="147">
        <f>SUM(U71:U75)</f>
        <v>0</v>
      </c>
      <c r="V77" s="149">
        <f t="shared" ref="V77:X77" si="55">SUM(V71:V75)</f>
        <v>860000</v>
      </c>
      <c r="W77" s="149">
        <f>SUM(W71:W75)</f>
        <v>900000</v>
      </c>
      <c r="X77" s="150">
        <f t="shared" si="55"/>
        <v>0</v>
      </c>
    </row>
    <row r="78" spans="2:24" s="2" customFormat="1" x14ac:dyDescent="0.35">
      <c r="B78" s="1"/>
      <c r="C78" s="16"/>
      <c r="D78" s="9"/>
      <c r="E78" s="9"/>
      <c r="F78" s="9"/>
      <c r="G78" s="9"/>
      <c r="H78" s="9"/>
      <c r="I78" s="9"/>
      <c r="J78" s="5"/>
      <c r="K78" s="5"/>
      <c r="L78" s="5"/>
      <c r="M78" s="5"/>
      <c r="N78" s="4"/>
      <c r="O78" s="41"/>
      <c r="P78" s="41"/>
      <c r="Q78" s="41"/>
      <c r="R78" s="41"/>
      <c r="S78" s="41"/>
      <c r="T78" s="42"/>
      <c r="U78" s="42"/>
      <c r="V78" s="42"/>
      <c r="W78" s="42"/>
      <c r="X78" s="42"/>
    </row>
    <row r="79" spans="2:24" x14ac:dyDescent="0.35">
      <c r="C79" s="16"/>
      <c r="D79" s="9"/>
      <c r="E79" s="9"/>
      <c r="F79" s="9"/>
      <c r="G79" s="9"/>
      <c r="H79" s="9"/>
      <c r="I79" s="9"/>
      <c r="J79" s="5"/>
      <c r="K79" s="5"/>
      <c r="L79" s="5"/>
      <c r="M79" s="5"/>
      <c r="N79" s="4"/>
      <c r="O79" s="41"/>
      <c r="P79" s="41"/>
      <c r="Q79" s="41"/>
      <c r="R79" s="41"/>
      <c r="S79" s="41"/>
      <c r="T79" s="42"/>
      <c r="U79" s="42"/>
      <c r="V79" s="42"/>
      <c r="W79" s="42"/>
      <c r="X79" s="42"/>
    </row>
    <row r="80" spans="2:24" ht="15" thickBot="1" x14ac:dyDescent="0.4">
      <c r="C80" s="16"/>
      <c r="D80" s="9"/>
      <c r="E80" s="9"/>
      <c r="F80" s="9"/>
      <c r="G80" s="9"/>
      <c r="H80" s="9"/>
      <c r="I80" s="9"/>
      <c r="J80" s="5"/>
      <c r="K80" s="5"/>
      <c r="L80" s="5"/>
      <c r="M80" s="5"/>
      <c r="N80" s="4"/>
      <c r="O80" s="41"/>
      <c r="P80" s="41"/>
      <c r="Q80" s="41"/>
      <c r="R80" s="41"/>
      <c r="S80" s="41"/>
      <c r="T80" s="42"/>
      <c r="U80" s="42"/>
      <c r="V80" s="42"/>
      <c r="W80" s="42"/>
      <c r="X80" s="42"/>
    </row>
    <row r="81" spans="2:24" ht="29.5" thickBot="1" x14ac:dyDescent="0.4">
      <c r="B81" s="45"/>
      <c r="C81" s="91"/>
      <c r="D81" s="92"/>
      <c r="E81" s="92"/>
      <c r="F81" s="92"/>
      <c r="G81" s="92"/>
      <c r="H81" s="92"/>
      <c r="I81" s="92"/>
      <c r="J81" s="93"/>
      <c r="K81" s="93"/>
      <c r="L81" s="93"/>
      <c r="M81" s="93"/>
      <c r="N81" s="94"/>
      <c r="O81" s="100" t="s">
        <v>64</v>
      </c>
      <c r="P81" s="100" t="s">
        <v>39</v>
      </c>
      <c r="Q81" s="100" t="s">
        <v>65</v>
      </c>
      <c r="R81" s="100" t="s">
        <v>66</v>
      </c>
      <c r="S81" s="101" t="s">
        <v>67</v>
      </c>
      <c r="T81" s="105" t="s">
        <v>55</v>
      </c>
      <c r="U81" s="144"/>
      <c r="V81" s="144"/>
      <c r="W81" s="144"/>
      <c r="X81" s="144"/>
    </row>
    <row r="82" spans="2:24" s="45" customFormat="1" ht="15" thickBot="1" x14ac:dyDescent="0.4">
      <c r="B82" s="1"/>
      <c r="C82" s="95"/>
      <c r="D82" s="96"/>
      <c r="E82" s="96"/>
      <c r="F82" s="96"/>
      <c r="G82" s="96"/>
      <c r="H82" s="96"/>
      <c r="I82" s="96"/>
      <c r="J82" s="96"/>
      <c r="K82" s="96"/>
      <c r="L82" s="90"/>
      <c r="M82" s="97"/>
      <c r="N82" s="98" t="s">
        <v>99</v>
      </c>
      <c r="O82" s="102">
        <f>O77+O67+O17+O55+O38</f>
        <v>2732000</v>
      </c>
      <c r="P82" s="103">
        <f>P77+P67+P17+P55+P38</f>
        <v>7898000</v>
      </c>
      <c r="Q82" s="103">
        <f>Q77+Q67+Q17+Q55+Q38</f>
        <v>2003000</v>
      </c>
      <c r="R82" s="103">
        <f>R77+R67+R17+R55+R38</f>
        <v>1088000</v>
      </c>
      <c r="S82" s="104">
        <f>S77+S67+S17+S55+S38</f>
        <v>638000</v>
      </c>
      <c r="T82" s="99">
        <f>SUM(O82:S82)</f>
        <v>14359000</v>
      </c>
      <c r="U82" s="102">
        <f>SUM(U17,U38,U55,U67,U77)</f>
        <v>0</v>
      </c>
      <c r="V82" s="103">
        <f>SUM(V77,V67,V17,V55,V38)</f>
        <v>3210000</v>
      </c>
      <c r="W82" s="103">
        <f>SUM(W77,W67,W17,W55,W38)</f>
        <v>11149000</v>
      </c>
      <c r="X82" s="103">
        <f>SUM(X77,X67,X17,X55,X38)</f>
        <v>0</v>
      </c>
    </row>
    <row r="83" spans="2:24" x14ac:dyDescent="0.35">
      <c r="C83" s="2"/>
      <c r="D83" s="2"/>
      <c r="E83" s="2"/>
      <c r="F83" s="2"/>
      <c r="G83" s="2"/>
      <c r="H83" s="2"/>
      <c r="I83" s="2"/>
      <c r="J83" s="5"/>
      <c r="K83" s="5"/>
      <c r="L83" s="5"/>
      <c r="M83" s="5"/>
      <c r="N83" s="4"/>
      <c r="O83" s="39"/>
      <c r="P83" s="39"/>
      <c r="Q83" s="39"/>
      <c r="R83" s="39"/>
      <c r="S83" s="39"/>
      <c r="T83" s="39"/>
      <c r="U83" s="39"/>
      <c r="V83" s="39"/>
      <c r="W83" s="39"/>
      <c r="X83" s="39"/>
    </row>
    <row r="84" spans="2:24" ht="15" thickBot="1" x14ac:dyDescent="0.4">
      <c r="B84" s="71"/>
      <c r="C84" s="2"/>
      <c r="D84" s="2"/>
      <c r="E84" s="2"/>
      <c r="F84" s="2"/>
      <c r="G84" s="2"/>
      <c r="H84" s="2"/>
      <c r="I84" s="2"/>
      <c r="J84" s="5"/>
      <c r="K84" s="5"/>
      <c r="L84" s="5"/>
      <c r="M84" s="5"/>
      <c r="N84" s="4"/>
      <c r="O84" s="39"/>
      <c r="P84" s="39"/>
      <c r="Q84" s="39"/>
      <c r="R84" s="39"/>
      <c r="S84" s="39"/>
      <c r="T84" s="39"/>
      <c r="U84" s="39"/>
      <c r="V84" s="39"/>
      <c r="W84" s="39"/>
      <c r="X84" s="39"/>
    </row>
    <row r="85" spans="2:24" s="71" customFormat="1" ht="29" x14ac:dyDescent="0.35">
      <c r="B85" s="1"/>
      <c r="C85" s="75" t="s">
        <v>91</v>
      </c>
      <c r="D85" s="74" t="s">
        <v>7</v>
      </c>
      <c r="E85" s="74"/>
      <c r="F85" s="74"/>
      <c r="G85" s="74" t="s">
        <v>26</v>
      </c>
      <c r="H85" s="72">
        <v>2021</v>
      </c>
      <c r="I85" s="72">
        <v>2022</v>
      </c>
      <c r="J85" s="72">
        <v>2023</v>
      </c>
      <c r="K85" s="72">
        <v>2024</v>
      </c>
      <c r="L85" s="72">
        <v>2025</v>
      </c>
      <c r="M85" s="69" t="s">
        <v>36</v>
      </c>
      <c r="N85" s="62" t="s">
        <v>37</v>
      </c>
      <c r="O85" s="73" t="s">
        <v>64</v>
      </c>
      <c r="P85" s="73" t="s">
        <v>39</v>
      </c>
      <c r="Q85" s="73" t="s">
        <v>65</v>
      </c>
      <c r="R85" s="73" t="s">
        <v>66</v>
      </c>
      <c r="S85" s="73" t="s">
        <v>67</v>
      </c>
      <c r="T85" s="151" t="s">
        <v>111</v>
      </c>
      <c r="U85" s="160"/>
      <c r="V85" s="161"/>
      <c r="W85" s="161"/>
      <c r="X85" s="162"/>
    </row>
    <row r="86" spans="2:24" x14ac:dyDescent="0.35">
      <c r="B86" s="170">
        <v>4.2</v>
      </c>
      <c r="C86" s="284" t="s">
        <v>48</v>
      </c>
      <c r="D86" s="65" t="s">
        <v>318</v>
      </c>
      <c r="E86" s="65" t="s">
        <v>108</v>
      </c>
      <c r="F86" s="66"/>
      <c r="G86" s="65" t="s">
        <v>32</v>
      </c>
      <c r="H86" s="126"/>
      <c r="I86" s="127"/>
      <c r="J86" s="127"/>
      <c r="K86" s="127"/>
      <c r="L86" s="127"/>
      <c r="M86" s="127"/>
      <c r="N86" s="118">
        <v>7.0000000000000007E-2</v>
      </c>
      <c r="O86" s="48">
        <v>0</v>
      </c>
      <c r="P86" s="48">
        <f>ROUND($N86*O38+O86,-3)</f>
        <v>37000</v>
      </c>
      <c r="Q86" s="48">
        <f t="shared" ref="Q86:S86" si="56">ROUND($N86*P38+P86,-3)</f>
        <v>303000</v>
      </c>
      <c r="R86" s="48">
        <f t="shared" si="56"/>
        <v>331000</v>
      </c>
      <c r="S86" s="48">
        <f t="shared" si="56"/>
        <v>347000</v>
      </c>
      <c r="T86" s="140">
        <f t="shared" ref="T86:T87" si="57">SUM(O86:S86)</f>
        <v>1018000</v>
      </c>
      <c r="U86" s="155">
        <f>IF($E86=U$3,$T86,0)</f>
        <v>0</v>
      </c>
      <c r="V86" s="148">
        <f t="shared" ref="V86:X87" si="58">IF($E86=V$3,$T86,0)</f>
        <v>0</v>
      </c>
      <c r="W86" s="148">
        <f t="shared" si="58"/>
        <v>0</v>
      </c>
      <c r="X86" s="156">
        <f t="shared" si="58"/>
        <v>1018000</v>
      </c>
    </row>
    <row r="87" spans="2:24" ht="15" thickBot="1" x14ac:dyDescent="0.4">
      <c r="B87" s="170">
        <v>4.2</v>
      </c>
      <c r="C87" s="285"/>
      <c r="D87" s="67" t="s">
        <v>319</v>
      </c>
      <c r="E87" s="65" t="s">
        <v>265</v>
      </c>
      <c r="F87" s="68"/>
      <c r="G87" s="67" t="s">
        <v>32</v>
      </c>
      <c r="H87" s="129"/>
      <c r="I87" s="130"/>
      <c r="J87" s="130"/>
      <c r="K87" s="130"/>
      <c r="L87" s="130"/>
      <c r="M87" s="131"/>
      <c r="N87" s="119">
        <v>7.0000000000000007E-2</v>
      </c>
      <c r="O87" s="49">
        <v>0</v>
      </c>
      <c r="P87" s="49">
        <f>ROUND($N87*O55+O87,-3)</f>
        <v>56000</v>
      </c>
      <c r="Q87" s="49">
        <f t="shared" ref="Q87:S87" si="59">ROUND($N87*P55+P87,-3)</f>
        <v>193000</v>
      </c>
      <c r="R87" s="49">
        <f t="shared" si="59"/>
        <v>204000</v>
      </c>
      <c r="S87" s="49">
        <f t="shared" si="59"/>
        <v>204000</v>
      </c>
      <c r="T87" s="141">
        <f t="shared" si="57"/>
        <v>657000</v>
      </c>
      <c r="U87" s="155">
        <f>IF($E87=U$3,$T87,0)</f>
        <v>0</v>
      </c>
      <c r="V87" s="148">
        <f t="shared" si="58"/>
        <v>0</v>
      </c>
      <c r="W87" s="148">
        <f t="shared" si="58"/>
        <v>657000</v>
      </c>
      <c r="X87" s="156">
        <f t="shared" si="58"/>
        <v>0</v>
      </c>
    </row>
    <row r="88" spans="2:24" ht="15" thickBot="1" x14ac:dyDescent="0.4">
      <c r="B88" s="45"/>
      <c r="C88" s="16"/>
      <c r="D88" s="9"/>
      <c r="E88" s="9"/>
      <c r="F88" s="9"/>
      <c r="G88" s="9"/>
      <c r="H88" s="9"/>
      <c r="I88" s="9"/>
      <c r="J88" s="5"/>
      <c r="K88" s="5"/>
      <c r="L88" s="5"/>
      <c r="M88" s="5"/>
      <c r="N88" s="4"/>
      <c r="O88" s="39"/>
      <c r="P88" s="39"/>
      <c r="Q88" s="40"/>
      <c r="R88" s="40"/>
      <c r="S88" s="40"/>
      <c r="T88" s="41"/>
      <c r="U88" s="41"/>
      <c r="V88" s="41"/>
      <c r="W88" s="41"/>
      <c r="X88" s="41"/>
    </row>
    <row r="89" spans="2:24" s="45" customFormat="1" ht="15" thickBot="1" x14ac:dyDescent="0.4">
      <c r="B89" s="1"/>
      <c r="C89" s="47"/>
      <c r="D89" s="46"/>
      <c r="E89" s="46"/>
      <c r="F89" s="46"/>
      <c r="G89" s="46"/>
      <c r="H89" s="46"/>
      <c r="I89" s="46"/>
      <c r="J89" s="46"/>
      <c r="K89" s="46"/>
      <c r="L89" s="87"/>
      <c r="M89" s="88"/>
      <c r="N89" s="89" t="s">
        <v>100</v>
      </c>
      <c r="O89" s="83">
        <f>SUM(O86:O87)</f>
        <v>0</v>
      </c>
      <c r="P89" s="84">
        <f>SUM(P86:P87)</f>
        <v>93000</v>
      </c>
      <c r="Q89" s="84">
        <f>SUM(Q86:Q87)</f>
        <v>496000</v>
      </c>
      <c r="R89" s="84">
        <f>SUM(R86:R87)</f>
        <v>535000</v>
      </c>
      <c r="S89" s="85">
        <f>SUM(S86:S87)</f>
        <v>551000</v>
      </c>
      <c r="T89" s="61">
        <f>SUM(O89:S89)</f>
        <v>1675000</v>
      </c>
      <c r="U89" s="147">
        <f>SUM(U86:U87)</f>
        <v>0</v>
      </c>
      <c r="V89" s="149">
        <f t="shared" ref="V89:X89" si="60">SUM(V86:V87)</f>
        <v>0</v>
      </c>
      <c r="W89" s="149">
        <f t="shared" si="60"/>
        <v>657000</v>
      </c>
      <c r="X89" s="150">
        <f t="shared" si="60"/>
        <v>1018000</v>
      </c>
    </row>
    <row r="90" spans="2:24" x14ac:dyDescent="0.35">
      <c r="C90" s="2"/>
      <c r="D90" s="2"/>
      <c r="E90" s="2"/>
      <c r="F90" s="2"/>
      <c r="G90" s="2"/>
      <c r="H90" s="2"/>
      <c r="I90" s="2"/>
      <c r="J90" s="5"/>
      <c r="K90" s="5"/>
      <c r="L90" s="5"/>
      <c r="M90" s="5"/>
      <c r="N90" s="4"/>
      <c r="O90" s="39"/>
      <c r="P90" s="39"/>
      <c r="Q90" s="39"/>
      <c r="R90" s="39"/>
      <c r="S90" s="39"/>
      <c r="T90" s="39"/>
      <c r="U90" s="39"/>
      <c r="V90" s="39"/>
      <c r="W90" s="39"/>
      <c r="X90" s="39"/>
    </row>
    <row r="91" spans="2:24" ht="15" thickBot="1" x14ac:dyDescent="0.4">
      <c r="C91" s="2"/>
      <c r="D91" s="2"/>
      <c r="E91" s="2"/>
      <c r="F91" s="2"/>
      <c r="G91" s="2"/>
      <c r="H91" s="2"/>
      <c r="I91" s="2"/>
      <c r="J91" s="5"/>
      <c r="K91" s="5"/>
      <c r="L91" s="5"/>
      <c r="M91" s="5"/>
      <c r="N91" s="4"/>
      <c r="O91" s="39"/>
      <c r="P91" s="39"/>
      <c r="Q91" s="39"/>
      <c r="R91" s="39"/>
      <c r="S91" s="39"/>
      <c r="T91" s="39"/>
      <c r="U91" s="39"/>
      <c r="V91" s="39"/>
      <c r="W91" s="39"/>
      <c r="X91" s="39"/>
    </row>
    <row r="92" spans="2:24" ht="30" thickTop="1" thickBot="1" x14ac:dyDescent="0.4">
      <c r="B92" s="45"/>
      <c r="C92" s="91"/>
      <c r="D92" s="92"/>
      <c r="E92" s="92"/>
      <c r="F92" s="92"/>
      <c r="G92" s="92"/>
      <c r="H92" s="92"/>
      <c r="I92" s="92"/>
      <c r="J92" s="93"/>
      <c r="K92" s="93"/>
      <c r="L92" s="93"/>
      <c r="M92" s="93"/>
      <c r="N92" s="94"/>
      <c r="O92" s="43" t="s">
        <v>64</v>
      </c>
      <c r="P92" s="43" t="s">
        <v>39</v>
      </c>
      <c r="Q92" s="43" t="s">
        <v>65</v>
      </c>
      <c r="R92" s="43" t="s">
        <v>66</v>
      </c>
      <c r="S92" s="163" t="s">
        <v>67</v>
      </c>
      <c r="T92" s="86" t="s">
        <v>83</v>
      </c>
      <c r="U92" s="160"/>
      <c r="V92" s="161"/>
      <c r="W92" s="161"/>
      <c r="X92" s="162"/>
    </row>
    <row r="93" spans="2:24" s="45" customFormat="1" ht="15.5" thickTop="1" thickBot="1" x14ac:dyDescent="0.4">
      <c r="B93" s="2"/>
      <c r="C93" s="95"/>
      <c r="D93" s="96"/>
      <c r="E93" s="96"/>
      <c r="F93" s="96"/>
      <c r="G93" s="96"/>
      <c r="H93" s="96"/>
      <c r="I93" s="96"/>
      <c r="J93" s="96"/>
      <c r="K93" s="96"/>
      <c r="L93" s="90"/>
      <c r="M93" s="97"/>
      <c r="N93" s="98" t="s">
        <v>101</v>
      </c>
      <c r="O93" s="102">
        <f t="shared" ref="O93:S93" si="61">O89+O82</f>
        <v>2732000</v>
      </c>
      <c r="P93" s="103">
        <f t="shared" si="61"/>
        <v>7991000</v>
      </c>
      <c r="Q93" s="103">
        <f t="shared" si="61"/>
        <v>2499000</v>
      </c>
      <c r="R93" s="103">
        <f t="shared" si="61"/>
        <v>1623000</v>
      </c>
      <c r="S93" s="103">
        <f t="shared" si="61"/>
        <v>1189000</v>
      </c>
      <c r="T93" s="86">
        <f>T89+T82</f>
        <v>16034000</v>
      </c>
      <c r="U93" s="147">
        <f>U82+U89</f>
        <v>0</v>
      </c>
      <c r="V93" s="149">
        <f t="shared" ref="V93:X93" si="62">V89+V82</f>
        <v>3210000</v>
      </c>
      <c r="W93" s="149">
        <f t="shared" si="62"/>
        <v>11806000</v>
      </c>
      <c r="X93" s="150">
        <f t="shared" si="62"/>
        <v>1018000</v>
      </c>
    </row>
    <row r="94" spans="2:24" s="2" customFormat="1" x14ac:dyDescent="0.35">
      <c r="B94" s="1"/>
      <c r="C94" s="16"/>
      <c r="D94" s="9"/>
      <c r="E94" s="9"/>
      <c r="F94" s="9"/>
      <c r="G94" s="9"/>
      <c r="H94" s="9"/>
      <c r="I94" s="9"/>
      <c r="J94" s="5"/>
      <c r="K94" s="5"/>
      <c r="L94" s="5"/>
      <c r="M94" s="5"/>
      <c r="N94" s="4"/>
      <c r="O94" s="41"/>
      <c r="P94" s="41"/>
      <c r="Q94" s="41"/>
      <c r="R94" s="41"/>
      <c r="S94" s="41"/>
      <c r="T94" s="42"/>
      <c r="U94" s="42"/>
      <c r="V94" s="42"/>
      <c r="W94" s="42"/>
      <c r="X94" s="42"/>
    </row>
    <row r="95" spans="2:24" ht="15" thickBot="1" x14ac:dyDescent="0.4">
      <c r="B95" s="71"/>
      <c r="N95" s="11"/>
      <c r="O95" s="11"/>
      <c r="P95" s="11"/>
      <c r="Q95" s="11"/>
      <c r="R95" s="11"/>
      <c r="S95" s="11"/>
      <c r="T95" s="11"/>
      <c r="U95" s="11"/>
      <c r="V95" s="11"/>
      <c r="W95" s="11"/>
      <c r="X95" s="11"/>
    </row>
    <row r="96" spans="2:24" s="71" customFormat="1" x14ac:dyDescent="0.35">
      <c r="B96" s="1"/>
      <c r="C96" s="75" t="s">
        <v>93</v>
      </c>
      <c r="D96" s="74" t="s">
        <v>7</v>
      </c>
      <c r="E96" s="74"/>
      <c r="F96" s="74"/>
      <c r="G96" s="74" t="s">
        <v>26</v>
      </c>
      <c r="H96" s="72">
        <v>2021</v>
      </c>
      <c r="I96" s="72">
        <v>2022</v>
      </c>
      <c r="J96" s="72">
        <v>2023</v>
      </c>
      <c r="K96" s="72">
        <v>2024</v>
      </c>
      <c r="L96" s="72">
        <v>2025</v>
      </c>
      <c r="M96" s="69"/>
      <c r="N96" s="62"/>
      <c r="O96" s="73">
        <v>2018</v>
      </c>
      <c r="P96" s="73">
        <v>2019</v>
      </c>
      <c r="Q96" s="73">
        <v>2020</v>
      </c>
      <c r="R96" s="73">
        <v>2021</v>
      </c>
      <c r="S96" s="73">
        <v>2022</v>
      </c>
      <c r="T96" s="70" t="s">
        <v>0</v>
      </c>
      <c r="U96" s="11"/>
      <c r="V96" s="11"/>
      <c r="W96" s="11"/>
      <c r="X96" s="11"/>
    </row>
    <row r="97" spans="2:24" x14ac:dyDescent="0.35">
      <c r="C97" s="284" t="s">
        <v>49</v>
      </c>
      <c r="D97" s="6" t="s">
        <v>50</v>
      </c>
      <c r="E97" s="6"/>
      <c r="F97" s="6"/>
      <c r="G97" s="6" t="s">
        <v>52</v>
      </c>
      <c r="H97" s="32"/>
      <c r="I97" s="33"/>
      <c r="J97" s="33"/>
      <c r="K97" s="33"/>
      <c r="L97" s="33"/>
      <c r="M97" s="29"/>
      <c r="N97" s="26"/>
      <c r="O97" s="26"/>
      <c r="P97" s="26"/>
      <c r="Q97" s="26"/>
      <c r="R97" s="26"/>
      <c r="S97" s="27"/>
      <c r="T97" s="34"/>
      <c r="U97" s="11"/>
      <c r="V97" s="11"/>
      <c r="W97" s="11"/>
      <c r="X97" s="11"/>
    </row>
    <row r="98" spans="2:24" x14ac:dyDescent="0.35">
      <c r="C98" s="284"/>
      <c r="D98" s="6" t="s">
        <v>51</v>
      </c>
      <c r="E98" s="6"/>
      <c r="F98" s="6"/>
      <c r="G98" s="6" t="s">
        <v>53</v>
      </c>
      <c r="H98" s="25"/>
      <c r="I98" s="25"/>
      <c r="J98" s="25"/>
      <c r="K98" s="25"/>
      <c r="L98" s="25"/>
      <c r="M98" s="30"/>
      <c r="N98" s="25"/>
      <c r="O98" s="10">
        <f>H97*H98</f>
        <v>0</v>
      </c>
      <c r="P98" s="10">
        <f t="shared" ref="P98:S98" si="63">I97*I98</f>
        <v>0</v>
      </c>
      <c r="Q98" s="10">
        <f t="shared" si="63"/>
        <v>0</v>
      </c>
      <c r="R98" s="10">
        <f t="shared" si="63"/>
        <v>0</v>
      </c>
      <c r="S98" s="10">
        <f t="shared" si="63"/>
        <v>0</v>
      </c>
      <c r="T98" s="21">
        <f t="shared" ref="T98:T99" si="64">SUM(O98:S98)</f>
        <v>0</v>
      </c>
      <c r="U98" s="11"/>
      <c r="V98" s="11"/>
      <c r="W98" s="11"/>
      <c r="X98" s="11"/>
    </row>
    <row r="99" spans="2:24" ht="15" thickBot="1" x14ac:dyDescent="0.4">
      <c r="C99" s="285"/>
      <c r="D99" s="17" t="s">
        <v>61</v>
      </c>
      <c r="E99" s="17"/>
      <c r="F99" s="17"/>
      <c r="G99" s="17" t="s">
        <v>54</v>
      </c>
      <c r="H99" s="28"/>
      <c r="I99" s="28"/>
      <c r="J99" s="28"/>
      <c r="K99" s="28"/>
      <c r="L99" s="28"/>
      <c r="M99" s="31"/>
      <c r="N99" s="28"/>
      <c r="O99" s="18">
        <f>H97*H99</f>
        <v>0</v>
      </c>
      <c r="P99" s="18">
        <f t="shared" ref="P99:S99" si="65">I97*I99</f>
        <v>0</v>
      </c>
      <c r="Q99" s="18">
        <f t="shared" si="65"/>
        <v>0</v>
      </c>
      <c r="R99" s="18">
        <f t="shared" si="65"/>
        <v>0</v>
      </c>
      <c r="S99" s="23">
        <f t="shared" si="65"/>
        <v>0</v>
      </c>
      <c r="T99" s="22">
        <f t="shared" si="64"/>
        <v>0</v>
      </c>
      <c r="U99" s="11"/>
      <c r="V99" s="11"/>
      <c r="W99" s="11"/>
      <c r="X99" s="11"/>
    </row>
    <row r="100" spans="2:24" ht="15" thickBot="1" x14ac:dyDescent="0.4">
      <c r="C100" s="8"/>
      <c r="D100" s="7"/>
      <c r="E100" s="7"/>
      <c r="F100" s="7"/>
      <c r="G100" s="7"/>
      <c r="H100" s="13"/>
      <c r="I100" s="13"/>
      <c r="J100" s="14"/>
      <c r="K100" s="14"/>
      <c r="L100" s="14"/>
      <c r="M100" s="11"/>
      <c r="N100" s="11"/>
      <c r="O100" s="11"/>
      <c r="P100" s="11"/>
      <c r="Q100" s="11"/>
      <c r="R100" s="11"/>
      <c r="S100" s="11"/>
      <c r="T100" s="24"/>
      <c r="U100" s="11"/>
      <c r="V100" s="11"/>
      <c r="W100" s="11"/>
      <c r="X100" s="11"/>
    </row>
    <row r="101" spans="2:24" ht="15" thickBot="1" x14ac:dyDescent="0.4">
      <c r="L101" s="87"/>
      <c r="M101" s="88"/>
      <c r="N101" s="89" t="s">
        <v>102</v>
      </c>
      <c r="O101" s="35">
        <f>O99</f>
        <v>0</v>
      </c>
      <c r="P101" s="35">
        <f t="shared" ref="P101:S101" si="66">P99</f>
        <v>0</v>
      </c>
      <c r="Q101" s="35">
        <f t="shared" si="66"/>
        <v>0</v>
      </c>
      <c r="R101" s="35">
        <f t="shared" si="66"/>
        <v>0</v>
      </c>
      <c r="S101" s="35">
        <f t="shared" si="66"/>
        <v>0</v>
      </c>
      <c r="T101" s="15">
        <f>SUM(O101:S101)</f>
        <v>0</v>
      </c>
      <c r="U101" s="11"/>
      <c r="V101" s="11"/>
      <c r="W101" s="11"/>
      <c r="X101" s="11"/>
    </row>
    <row r="102" spans="2:24" ht="15" thickBot="1" x14ac:dyDescent="0.4">
      <c r="U102" s="11"/>
      <c r="V102" s="11"/>
      <c r="W102" s="11"/>
      <c r="X102" s="11"/>
    </row>
    <row r="103" spans="2:24" ht="44.5" thickTop="1" thickBot="1" x14ac:dyDescent="0.4">
      <c r="B103" s="45"/>
      <c r="C103" s="106"/>
      <c r="D103" s="112" t="s">
        <v>103</v>
      </c>
      <c r="E103" s="107"/>
      <c r="F103" s="107"/>
      <c r="G103" s="107"/>
      <c r="H103" s="107"/>
      <c r="I103" s="107"/>
      <c r="J103" s="107"/>
      <c r="K103" s="107"/>
      <c r="L103" s="107"/>
      <c r="M103" s="107"/>
      <c r="N103" s="108"/>
      <c r="O103" s="19" t="s">
        <v>64</v>
      </c>
      <c r="P103" s="19" t="s">
        <v>39</v>
      </c>
      <c r="Q103" s="19" t="s">
        <v>65</v>
      </c>
      <c r="R103" s="19" t="s">
        <v>66</v>
      </c>
      <c r="S103" s="44" t="s">
        <v>67</v>
      </c>
      <c r="T103" s="20" t="s">
        <v>84</v>
      </c>
      <c r="U103" s="11"/>
      <c r="V103" s="11"/>
      <c r="W103" s="11"/>
      <c r="X103" s="11"/>
    </row>
    <row r="104" spans="2:24" s="45" customFormat="1" ht="15" thickBot="1" x14ac:dyDescent="0.4">
      <c r="B104" s="1"/>
      <c r="C104" s="109"/>
      <c r="D104" s="110"/>
      <c r="E104" s="110"/>
      <c r="F104" s="110"/>
      <c r="G104" s="110"/>
      <c r="H104" s="110"/>
      <c r="I104" s="110"/>
      <c r="J104" s="110"/>
      <c r="K104" s="110"/>
      <c r="L104" s="110"/>
      <c r="M104" s="110"/>
      <c r="N104" s="111"/>
      <c r="O104" s="83">
        <f>O89+O101</f>
        <v>0</v>
      </c>
      <c r="P104" s="84">
        <f>P89+P101</f>
        <v>93000</v>
      </c>
      <c r="Q104" s="84">
        <f>Q89+Q101</f>
        <v>496000</v>
      </c>
      <c r="R104" s="84">
        <f>R89+R101</f>
        <v>535000</v>
      </c>
      <c r="S104" s="85">
        <f>S89+S101</f>
        <v>551000</v>
      </c>
      <c r="T104" s="61">
        <f>S104</f>
        <v>551000</v>
      </c>
      <c r="U104" s="11"/>
      <c r="V104" s="11"/>
      <c r="W104" s="11"/>
      <c r="X104" s="11"/>
    </row>
    <row r="105" spans="2:24" x14ac:dyDescent="0.35">
      <c r="Q105" s="282"/>
      <c r="R105" s="282"/>
      <c r="S105" s="113"/>
      <c r="U105" s="11"/>
      <c r="V105" s="11"/>
      <c r="W105" s="11"/>
      <c r="X105" s="11"/>
    </row>
    <row r="106" spans="2:24" x14ac:dyDescent="0.35">
      <c r="Q106" s="283"/>
      <c r="R106" s="283"/>
      <c r="S106" s="113"/>
      <c r="U106" s="11"/>
      <c r="V106" s="11"/>
      <c r="W106" s="11"/>
      <c r="X106" s="11"/>
    </row>
  </sheetData>
  <mergeCells count="8">
    <mergeCell ref="C6:C15"/>
    <mergeCell ref="C97:C99"/>
    <mergeCell ref="Q105:R106"/>
    <mergeCell ref="C20:C36"/>
    <mergeCell ref="C42:C53"/>
    <mergeCell ref="C71:C75"/>
    <mergeCell ref="C86:C87"/>
    <mergeCell ref="C59:C65"/>
  </mergeCells>
  <phoneticPr fontId="8" type="noConversion"/>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5CD88-D19D-480F-95FD-C0CBF0ED3444}">
  <dimension ref="B1:X105"/>
  <sheetViews>
    <sheetView topLeftCell="A61" zoomScale="80" zoomScaleNormal="80" workbookViewId="0">
      <selection activeCell="D85" sqref="D85:D86"/>
    </sheetView>
  </sheetViews>
  <sheetFormatPr defaultColWidth="11.453125" defaultRowHeight="14.5" x14ac:dyDescent="0.35"/>
  <cols>
    <col min="1" max="1" width="4" style="1" customWidth="1"/>
    <col min="2" max="2" width="6.36328125" style="1" customWidth="1"/>
    <col min="3" max="3" width="17.6328125" style="1" customWidth="1"/>
    <col min="4" max="4" width="47.81640625" style="1" customWidth="1"/>
    <col min="5" max="5" width="10" style="1" customWidth="1"/>
    <col min="6" max="6" width="11" style="1" customWidth="1"/>
    <col min="7" max="7" width="21.6328125" style="1" customWidth="1"/>
    <col min="8" max="8" width="7.453125" style="1" customWidth="1"/>
    <col min="9" max="12" width="7.36328125" style="1" customWidth="1"/>
    <col min="13" max="13" width="14.36328125" style="1" customWidth="1"/>
    <col min="14" max="14" width="13.453125" style="1" customWidth="1"/>
    <col min="15" max="24" width="12.81640625" style="1" customWidth="1"/>
    <col min="25" max="16384" width="11.453125" style="1"/>
  </cols>
  <sheetData>
    <row r="1" spans="2:24" ht="15" thickBot="1" x14ac:dyDescent="0.4">
      <c r="C1" s="9"/>
      <c r="D1" s="9"/>
      <c r="E1" s="9"/>
      <c r="F1" s="9"/>
      <c r="G1" s="9"/>
      <c r="H1" s="9"/>
      <c r="I1" s="9"/>
      <c r="J1" s="9"/>
      <c r="K1" s="9"/>
      <c r="L1" s="9"/>
      <c r="M1" s="9"/>
      <c r="N1" s="9"/>
      <c r="O1" s="3"/>
      <c r="P1" s="3"/>
      <c r="Q1" s="3"/>
      <c r="R1" s="3"/>
      <c r="S1" s="3"/>
      <c r="T1" s="12"/>
      <c r="U1" s="12"/>
      <c r="V1" s="12"/>
      <c r="W1" s="12"/>
      <c r="X1" s="12"/>
    </row>
    <row r="2" spans="2:24" s="71" customFormat="1" ht="43.5" x14ac:dyDescent="0.35">
      <c r="C2" s="75" t="s">
        <v>90</v>
      </c>
      <c r="D2" s="74" t="s">
        <v>7</v>
      </c>
      <c r="E2" s="74" t="str">
        <f>E19</f>
        <v>Fin.
AFD, EU, GCF, GVNT</v>
      </c>
      <c r="F2" s="74" t="str">
        <f>F19</f>
        <v>Durée de vie (an)</v>
      </c>
      <c r="G2" s="74" t="s">
        <v>26</v>
      </c>
      <c r="H2" s="72">
        <v>2021</v>
      </c>
      <c r="I2" s="72">
        <v>2022</v>
      </c>
      <c r="J2" s="72">
        <v>2023</v>
      </c>
      <c r="K2" s="72">
        <v>2024</v>
      </c>
      <c r="L2" s="72">
        <v>2025</v>
      </c>
      <c r="M2" s="69" t="s">
        <v>36</v>
      </c>
      <c r="N2" s="62" t="s">
        <v>37</v>
      </c>
      <c r="O2" s="73" t="s">
        <v>9</v>
      </c>
      <c r="P2" s="73" t="s">
        <v>10</v>
      </c>
      <c r="Q2" s="73" t="s">
        <v>11</v>
      </c>
      <c r="R2" s="73" t="s">
        <v>12</v>
      </c>
      <c r="S2" s="73" t="s">
        <v>39</v>
      </c>
      <c r="T2" s="70" t="s">
        <v>8</v>
      </c>
      <c r="U2" s="146" t="s">
        <v>85</v>
      </c>
      <c r="V2" s="146" t="s">
        <v>264</v>
      </c>
      <c r="W2" s="146" t="s">
        <v>265</v>
      </c>
      <c r="X2" s="146" t="s">
        <v>108</v>
      </c>
    </row>
    <row r="3" spans="2:24" x14ac:dyDescent="0.35">
      <c r="B3" s="1" t="s">
        <v>179</v>
      </c>
      <c r="C3" s="218"/>
      <c r="D3" s="65" t="s">
        <v>306</v>
      </c>
      <c r="E3" s="76" t="s">
        <v>265</v>
      </c>
      <c r="F3" s="66"/>
      <c r="G3" s="65" t="s">
        <v>32</v>
      </c>
      <c r="H3" s="51">
        <v>1</v>
      </c>
      <c r="I3" s="51"/>
      <c r="J3" s="51"/>
      <c r="K3" s="51"/>
      <c r="L3" s="51"/>
      <c r="M3" s="56">
        <f t="shared" ref="M3" si="0">SUM(H3:K3)</f>
        <v>1</v>
      </c>
      <c r="N3" s="63">
        <v>10000</v>
      </c>
      <c r="O3" s="48">
        <f t="shared" ref="O3:S4" si="1">H3*$N3</f>
        <v>10000</v>
      </c>
      <c r="P3" s="48">
        <f t="shared" si="1"/>
        <v>0</v>
      </c>
      <c r="Q3" s="48">
        <f t="shared" si="1"/>
        <v>0</v>
      </c>
      <c r="R3" s="48">
        <f t="shared" si="1"/>
        <v>0</v>
      </c>
      <c r="S3" s="48">
        <f t="shared" si="1"/>
        <v>0</v>
      </c>
      <c r="T3" s="140">
        <f t="shared" ref="T3" si="2">SUM(O3:S3)</f>
        <v>10000</v>
      </c>
      <c r="U3" s="155">
        <f>IF($E3=U$2,$T3,0)</f>
        <v>0</v>
      </c>
      <c r="V3" s="148">
        <f t="shared" ref="V3:X3" si="3">IF($E3=V$2,$T3,0)</f>
        <v>0</v>
      </c>
      <c r="W3" s="148">
        <f t="shared" si="3"/>
        <v>10000</v>
      </c>
      <c r="X3" s="156">
        <f t="shared" si="3"/>
        <v>0</v>
      </c>
    </row>
    <row r="4" spans="2:24" x14ac:dyDescent="0.35">
      <c r="B4" s="1" t="s">
        <v>179</v>
      </c>
      <c r="C4" s="284"/>
      <c r="D4" s="65" t="s">
        <v>176</v>
      </c>
      <c r="E4" s="65" t="s">
        <v>265</v>
      </c>
      <c r="F4" s="66"/>
      <c r="G4" s="65" t="s">
        <v>32</v>
      </c>
      <c r="H4" s="51">
        <v>1</v>
      </c>
      <c r="I4" s="51"/>
      <c r="J4" s="51"/>
      <c r="K4" s="51"/>
      <c r="L4" s="51"/>
      <c r="M4" s="56">
        <f t="shared" ref="M4:M7" si="4">SUM(H4:K4)</f>
        <v>1</v>
      </c>
      <c r="N4" s="63">
        <v>140000</v>
      </c>
      <c r="O4" s="48">
        <f t="shared" si="1"/>
        <v>140000</v>
      </c>
      <c r="P4" s="48">
        <f t="shared" si="1"/>
        <v>0</v>
      </c>
      <c r="Q4" s="48">
        <f t="shared" si="1"/>
        <v>0</v>
      </c>
      <c r="R4" s="48">
        <f t="shared" si="1"/>
        <v>0</v>
      </c>
      <c r="S4" s="48">
        <f t="shared" si="1"/>
        <v>0</v>
      </c>
      <c r="T4" s="59">
        <f t="shared" ref="T4:T13" si="5">SUM(O4:S4)</f>
        <v>140000</v>
      </c>
      <c r="U4" s="155">
        <f t="shared" ref="U4:V11" si="6">IF($E4=U$13,$T4,0)</f>
        <v>0</v>
      </c>
      <c r="V4" s="148">
        <f t="shared" si="6"/>
        <v>0</v>
      </c>
      <c r="W4" s="148">
        <f t="shared" ref="W4:W13" si="7">IF($E4=W$18,$T4,0)</f>
        <v>140000</v>
      </c>
      <c r="X4" s="156">
        <f t="shared" ref="X4:X11" si="8">IF($E4=X$13,$T4,0)</f>
        <v>0</v>
      </c>
    </row>
    <row r="5" spans="2:24" x14ac:dyDescent="0.35">
      <c r="B5" s="1" t="s">
        <v>173</v>
      </c>
      <c r="C5" s="284"/>
      <c r="D5" s="65" t="s">
        <v>19</v>
      </c>
      <c r="E5" s="65" t="s">
        <v>265</v>
      </c>
      <c r="F5" s="66"/>
      <c r="G5" s="65" t="s">
        <v>32</v>
      </c>
      <c r="H5" s="126"/>
      <c r="I5" s="127"/>
      <c r="J5" s="127"/>
      <c r="K5" s="127"/>
      <c r="L5" s="127"/>
      <c r="M5" s="127"/>
      <c r="N5" s="118">
        <v>0.05</v>
      </c>
      <c r="O5" s="48">
        <f>ROUND($N5*O54,-3)</f>
        <v>40000</v>
      </c>
      <c r="P5" s="48">
        <f t="shared" ref="P5:S5" si="9">ROUND($N5*P54,-3)</f>
        <v>105000</v>
      </c>
      <c r="Q5" s="48">
        <f t="shared" si="9"/>
        <v>15000</v>
      </c>
      <c r="R5" s="48">
        <f t="shared" si="9"/>
        <v>0</v>
      </c>
      <c r="S5" s="48">
        <f t="shared" si="9"/>
        <v>0</v>
      </c>
      <c r="T5" s="59">
        <f t="shared" si="5"/>
        <v>160000</v>
      </c>
      <c r="U5" s="155">
        <f t="shared" si="6"/>
        <v>0</v>
      </c>
      <c r="V5" s="148">
        <f t="shared" si="6"/>
        <v>0</v>
      </c>
      <c r="W5" s="148">
        <f t="shared" si="7"/>
        <v>160000</v>
      </c>
      <c r="X5" s="156">
        <f t="shared" si="8"/>
        <v>0</v>
      </c>
    </row>
    <row r="6" spans="2:24" x14ac:dyDescent="0.35">
      <c r="B6" s="1" t="s">
        <v>173</v>
      </c>
      <c r="C6" s="284"/>
      <c r="D6" s="65" t="s">
        <v>20</v>
      </c>
      <c r="E6" s="65" t="s">
        <v>265</v>
      </c>
      <c r="F6" s="66"/>
      <c r="G6" s="65" t="s">
        <v>32</v>
      </c>
      <c r="H6" s="126"/>
      <c r="I6" s="127"/>
      <c r="J6" s="127"/>
      <c r="K6" s="127"/>
      <c r="L6" s="127"/>
      <c r="M6" s="127"/>
      <c r="N6" s="118">
        <v>0.05</v>
      </c>
      <c r="O6" s="48">
        <f>ROUND($N6*O37,-3)</f>
        <v>34000</v>
      </c>
      <c r="P6" s="48">
        <f t="shared" ref="P6:S6" si="10">ROUND($N6*P37,-3)</f>
        <v>225000</v>
      </c>
      <c r="Q6" s="48">
        <f t="shared" si="10"/>
        <v>6000</v>
      </c>
      <c r="R6" s="48">
        <f t="shared" si="10"/>
        <v>4000</v>
      </c>
      <c r="S6" s="48">
        <f t="shared" si="10"/>
        <v>4000</v>
      </c>
      <c r="T6" s="59">
        <f t="shared" si="5"/>
        <v>273000</v>
      </c>
      <c r="U6" s="155">
        <f t="shared" si="6"/>
        <v>0</v>
      </c>
      <c r="V6" s="148">
        <f t="shared" si="6"/>
        <v>0</v>
      </c>
      <c r="W6" s="148">
        <f t="shared" si="7"/>
        <v>273000</v>
      </c>
      <c r="X6" s="156">
        <f t="shared" si="8"/>
        <v>0</v>
      </c>
    </row>
    <row r="7" spans="2:24" ht="29" x14ac:dyDescent="0.35">
      <c r="B7" s="1" t="s">
        <v>180</v>
      </c>
      <c r="C7" s="284"/>
      <c r="D7" s="65" t="s">
        <v>175</v>
      </c>
      <c r="E7" s="65" t="s">
        <v>265</v>
      </c>
      <c r="F7" s="66"/>
      <c r="G7" s="65" t="s">
        <v>32</v>
      </c>
      <c r="H7" s="51">
        <v>1</v>
      </c>
      <c r="I7" s="51"/>
      <c r="J7" s="51"/>
      <c r="K7" s="51"/>
      <c r="L7" s="51"/>
      <c r="M7" s="56">
        <f t="shared" si="4"/>
        <v>1</v>
      </c>
      <c r="N7" s="63">
        <v>100000</v>
      </c>
      <c r="O7" s="48">
        <f t="shared" ref="O7:S10" si="11">H7*$N7</f>
        <v>100000</v>
      </c>
      <c r="P7" s="48">
        <f t="shared" si="11"/>
        <v>0</v>
      </c>
      <c r="Q7" s="48">
        <f t="shared" si="11"/>
        <v>0</v>
      </c>
      <c r="R7" s="48">
        <f t="shared" si="11"/>
        <v>0</v>
      </c>
      <c r="S7" s="48">
        <f t="shared" si="11"/>
        <v>0</v>
      </c>
      <c r="T7" s="59">
        <f t="shared" si="5"/>
        <v>100000</v>
      </c>
      <c r="U7" s="155">
        <f t="shared" si="6"/>
        <v>0</v>
      </c>
      <c r="V7" s="148">
        <f t="shared" si="6"/>
        <v>0</v>
      </c>
      <c r="W7" s="148">
        <f t="shared" si="7"/>
        <v>100000</v>
      </c>
      <c r="X7" s="156">
        <f t="shared" si="8"/>
        <v>0</v>
      </c>
    </row>
    <row r="8" spans="2:24" x14ac:dyDescent="0.35">
      <c r="B8" s="1" t="s">
        <v>181</v>
      </c>
      <c r="C8" s="284"/>
      <c r="D8" s="76" t="s">
        <v>177</v>
      </c>
      <c r="E8" s="65" t="s">
        <v>265</v>
      </c>
      <c r="F8" s="77"/>
      <c r="G8" s="65" t="s">
        <v>32</v>
      </c>
      <c r="H8" s="51"/>
      <c r="I8" s="51">
        <v>1</v>
      </c>
      <c r="J8" s="51"/>
      <c r="K8" s="51"/>
      <c r="L8" s="51"/>
      <c r="M8" s="56">
        <f>SUM(H8:L8)</f>
        <v>1</v>
      </c>
      <c r="N8" s="80">
        <v>50000</v>
      </c>
      <c r="O8" s="81">
        <f t="shared" si="11"/>
        <v>0</v>
      </c>
      <c r="P8" s="81">
        <f t="shared" si="11"/>
        <v>50000</v>
      </c>
      <c r="Q8" s="81">
        <f t="shared" si="11"/>
        <v>0</v>
      </c>
      <c r="R8" s="81">
        <f t="shared" si="11"/>
        <v>0</v>
      </c>
      <c r="S8" s="81">
        <f t="shared" si="11"/>
        <v>0</v>
      </c>
      <c r="T8" s="82">
        <f t="shared" si="5"/>
        <v>50000</v>
      </c>
      <c r="U8" s="155">
        <f t="shared" si="6"/>
        <v>0</v>
      </c>
      <c r="V8" s="148">
        <f t="shared" si="6"/>
        <v>0</v>
      </c>
      <c r="W8" s="148">
        <f t="shared" si="7"/>
        <v>50000</v>
      </c>
      <c r="X8" s="156">
        <f t="shared" si="8"/>
        <v>0</v>
      </c>
    </row>
    <row r="9" spans="2:24" x14ac:dyDescent="0.35">
      <c r="B9" s="1" t="s">
        <v>182</v>
      </c>
      <c r="C9" s="284"/>
      <c r="D9" s="65" t="s">
        <v>178</v>
      </c>
      <c r="E9" s="65" t="s">
        <v>265</v>
      </c>
      <c r="F9" s="66"/>
      <c r="G9" s="65" t="s">
        <v>32</v>
      </c>
      <c r="H9" s="51"/>
      <c r="I9" s="51"/>
      <c r="J9" s="51">
        <v>1</v>
      </c>
      <c r="K9" s="51"/>
      <c r="L9" s="51"/>
      <c r="M9" s="56">
        <f t="shared" ref="M9" si="12">SUM(H9:K9)</f>
        <v>1</v>
      </c>
      <c r="N9" s="63">
        <v>50000</v>
      </c>
      <c r="O9" s="48">
        <f t="shared" si="11"/>
        <v>0</v>
      </c>
      <c r="P9" s="48">
        <f t="shared" si="11"/>
        <v>0</v>
      </c>
      <c r="Q9" s="48">
        <f t="shared" si="11"/>
        <v>50000</v>
      </c>
      <c r="R9" s="48">
        <f t="shared" si="11"/>
        <v>0</v>
      </c>
      <c r="S9" s="48">
        <f t="shared" si="11"/>
        <v>0</v>
      </c>
      <c r="T9" s="59">
        <f t="shared" si="5"/>
        <v>50000</v>
      </c>
      <c r="U9" s="155">
        <f t="shared" si="6"/>
        <v>0</v>
      </c>
      <c r="V9" s="148">
        <f t="shared" si="6"/>
        <v>0</v>
      </c>
      <c r="W9" s="148">
        <f t="shared" si="7"/>
        <v>50000</v>
      </c>
      <c r="X9" s="156">
        <f t="shared" si="8"/>
        <v>0</v>
      </c>
    </row>
    <row r="10" spans="2:24" x14ac:dyDescent="0.35">
      <c r="B10" s="1" t="s">
        <v>183</v>
      </c>
      <c r="C10" s="284"/>
      <c r="D10" s="76" t="s">
        <v>184</v>
      </c>
      <c r="E10" s="65" t="s">
        <v>265</v>
      </c>
      <c r="F10" s="77"/>
      <c r="G10" s="65" t="s">
        <v>32</v>
      </c>
      <c r="H10" s="51"/>
      <c r="I10" s="51">
        <v>1</v>
      </c>
      <c r="J10" s="51"/>
      <c r="K10" s="51"/>
      <c r="L10" s="51"/>
      <c r="M10" s="56">
        <f>SUM(H10:L10)</f>
        <v>1</v>
      </c>
      <c r="N10" s="80">
        <v>100000</v>
      </c>
      <c r="O10" s="81">
        <f t="shared" si="11"/>
        <v>0</v>
      </c>
      <c r="P10" s="81">
        <f t="shared" si="11"/>
        <v>100000</v>
      </c>
      <c r="Q10" s="81">
        <f t="shared" si="11"/>
        <v>0</v>
      </c>
      <c r="R10" s="81">
        <f t="shared" si="11"/>
        <v>0</v>
      </c>
      <c r="S10" s="81">
        <f t="shared" si="11"/>
        <v>0</v>
      </c>
      <c r="T10" s="82">
        <f t="shared" si="5"/>
        <v>100000</v>
      </c>
      <c r="U10" s="155">
        <f t="shared" si="6"/>
        <v>0</v>
      </c>
      <c r="V10" s="148">
        <f t="shared" si="6"/>
        <v>0</v>
      </c>
      <c r="W10" s="148">
        <f t="shared" si="7"/>
        <v>100000</v>
      </c>
      <c r="X10" s="156">
        <f t="shared" si="8"/>
        <v>0</v>
      </c>
    </row>
    <row r="11" spans="2:24" x14ac:dyDescent="0.35">
      <c r="B11" s="1" t="s">
        <v>183</v>
      </c>
      <c r="C11" s="284"/>
      <c r="D11" s="76" t="s">
        <v>216</v>
      </c>
      <c r="E11" s="65" t="s">
        <v>265</v>
      </c>
      <c r="F11" s="77"/>
      <c r="G11" s="65" t="s">
        <v>32</v>
      </c>
      <c r="H11" s="51"/>
      <c r="I11" s="51">
        <v>1</v>
      </c>
      <c r="J11" s="51"/>
      <c r="K11" s="51"/>
      <c r="L11" s="51"/>
      <c r="M11" s="56">
        <f>SUM(H11:L11)</f>
        <v>1</v>
      </c>
      <c r="N11" s="80">
        <v>50000</v>
      </c>
      <c r="O11" s="81">
        <f t="shared" ref="O11" si="13">H11*$N11</f>
        <v>0</v>
      </c>
      <c r="P11" s="81">
        <f t="shared" ref="P11" si="14">I11*$N11</f>
        <v>50000</v>
      </c>
      <c r="Q11" s="81">
        <f t="shared" ref="Q11" si="15">J11*$N11</f>
        <v>0</v>
      </c>
      <c r="R11" s="81">
        <f t="shared" ref="R11" si="16">K11*$N11</f>
        <v>0</v>
      </c>
      <c r="S11" s="81">
        <f t="shared" ref="S11" si="17">L11*$N11</f>
        <v>0</v>
      </c>
      <c r="T11" s="82">
        <f t="shared" ref="T11" si="18">SUM(O11:S11)</f>
        <v>50000</v>
      </c>
      <c r="U11" s="155">
        <f t="shared" si="6"/>
        <v>0</v>
      </c>
      <c r="V11" s="148">
        <f t="shared" si="6"/>
        <v>0</v>
      </c>
      <c r="W11" s="148">
        <f t="shared" si="7"/>
        <v>50000</v>
      </c>
      <c r="X11" s="156">
        <f t="shared" si="8"/>
        <v>0</v>
      </c>
    </row>
    <row r="12" spans="2:24" ht="29" x14ac:dyDescent="0.35">
      <c r="B12" s="1" t="s">
        <v>172</v>
      </c>
      <c r="C12" s="284"/>
      <c r="D12" s="76" t="s">
        <v>185</v>
      </c>
      <c r="E12" s="65" t="s">
        <v>265</v>
      </c>
      <c r="F12" s="77"/>
      <c r="G12" s="76" t="s">
        <v>1</v>
      </c>
      <c r="H12" s="51">
        <v>3</v>
      </c>
      <c r="I12" s="51">
        <v>3</v>
      </c>
      <c r="J12" s="51">
        <v>3</v>
      </c>
      <c r="K12" s="51">
        <v>3</v>
      </c>
      <c r="L12" s="51">
        <v>3</v>
      </c>
      <c r="M12" s="56">
        <f>SUM(H12:L12)</f>
        <v>15</v>
      </c>
      <c r="N12" s="80">
        <v>24000</v>
      </c>
      <c r="O12" s="81">
        <f t="shared" ref="O12:S13" si="19">H12*$N12</f>
        <v>72000</v>
      </c>
      <c r="P12" s="81">
        <f t="shared" si="19"/>
        <v>72000</v>
      </c>
      <c r="Q12" s="81">
        <f t="shared" si="19"/>
        <v>72000</v>
      </c>
      <c r="R12" s="81">
        <f t="shared" si="19"/>
        <v>72000</v>
      </c>
      <c r="S12" s="81">
        <f t="shared" si="19"/>
        <v>72000</v>
      </c>
      <c r="T12" s="82">
        <f t="shared" si="5"/>
        <v>360000</v>
      </c>
      <c r="U12" s="155">
        <f>IF($E12=U$18,$T12,0)</f>
        <v>0</v>
      </c>
      <c r="V12" s="148">
        <f>IF($E12=V$18,$T12,0)</f>
        <v>0</v>
      </c>
      <c r="W12" s="148">
        <f t="shared" si="7"/>
        <v>360000</v>
      </c>
      <c r="X12" s="156">
        <f>IF($E12=X$18,$T12,0)</f>
        <v>0</v>
      </c>
    </row>
    <row r="13" spans="2:24" ht="29.5" thickBot="1" x14ac:dyDescent="0.4">
      <c r="B13" s="1" t="s">
        <v>171</v>
      </c>
      <c r="C13" s="285"/>
      <c r="D13" s="67" t="s">
        <v>59</v>
      </c>
      <c r="E13" s="65" t="s">
        <v>265</v>
      </c>
      <c r="F13" s="68"/>
      <c r="G13" s="67" t="s">
        <v>1</v>
      </c>
      <c r="H13" s="52">
        <v>3</v>
      </c>
      <c r="I13" s="52">
        <v>3</v>
      </c>
      <c r="J13" s="52">
        <v>3</v>
      </c>
      <c r="K13" s="52">
        <v>3</v>
      </c>
      <c r="L13" s="52">
        <v>3</v>
      </c>
      <c r="M13" s="57">
        <f>SUM(H13:L13)</f>
        <v>15</v>
      </c>
      <c r="N13" s="64">
        <v>60000</v>
      </c>
      <c r="O13" s="49">
        <f t="shared" si="19"/>
        <v>180000</v>
      </c>
      <c r="P13" s="49">
        <f t="shared" si="19"/>
        <v>180000</v>
      </c>
      <c r="Q13" s="49">
        <f t="shared" si="19"/>
        <v>180000</v>
      </c>
      <c r="R13" s="49">
        <f t="shared" si="19"/>
        <v>180000</v>
      </c>
      <c r="S13" s="49">
        <f t="shared" si="19"/>
        <v>180000</v>
      </c>
      <c r="T13" s="60">
        <f t="shared" si="5"/>
        <v>900000</v>
      </c>
      <c r="U13" s="157">
        <f>IF($E13=U$18,$T13,0)</f>
        <v>0</v>
      </c>
      <c r="V13" s="158">
        <f>IF($E13=V$18,$T13,0)</f>
        <v>0</v>
      </c>
      <c r="W13" s="158">
        <f t="shared" si="7"/>
        <v>900000</v>
      </c>
      <c r="X13" s="159">
        <f>IF($E13=X$18,$T13,0)</f>
        <v>0</v>
      </c>
    </row>
    <row r="14" spans="2:24" ht="15" thickBot="1" x14ac:dyDescent="0.4">
      <c r="C14" s="16"/>
      <c r="D14" s="9"/>
      <c r="E14" s="9"/>
      <c r="F14" s="9"/>
      <c r="G14" s="9"/>
      <c r="H14" s="9"/>
      <c r="I14" s="9"/>
      <c r="J14" s="5"/>
      <c r="K14" s="5"/>
      <c r="L14" s="5"/>
      <c r="M14" s="5"/>
      <c r="N14" s="4"/>
      <c r="O14" s="39"/>
      <c r="P14" s="39"/>
      <c r="Q14" s="40"/>
      <c r="R14" s="40"/>
      <c r="S14" s="40"/>
      <c r="T14" s="41"/>
      <c r="U14" s="41"/>
      <c r="V14" s="41"/>
      <c r="W14" s="41"/>
      <c r="X14" s="41"/>
    </row>
    <row r="15" spans="2:24" s="45" customFormat="1" ht="15" thickBot="1" x14ac:dyDescent="0.4">
      <c r="C15" s="47"/>
      <c r="D15" s="46"/>
      <c r="E15" s="46"/>
      <c r="F15" s="46"/>
      <c r="G15" s="46"/>
      <c r="H15" s="46"/>
      <c r="I15" s="46"/>
      <c r="J15" s="46"/>
      <c r="K15" s="46"/>
      <c r="L15" s="87"/>
      <c r="M15" s="88"/>
      <c r="N15" s="89" t="s">
        <v>96</v>
      </c>
      <c r="O15" s="83">
        <f>SUM(O3:O13)</f>
        <v>576000</v>
      </c>
      <c r="P15" s="83">
        <f t="shared" ref="P15:S15" si="20">SUM(P3:P13)</f>
        <v>782000</v>
      </c>
      <c r="Q15" s="83">
        <f t="shared" si="20"/>
        <v>323000</v>
      </c>
      <c r="R15" s="83">
        <f t="shared" si="20"/>
        <v>256000</v>
      </c>
      <c r="S15" s="83">
        <f t="shared" si="20"/>
        <v>256000</v>
      </c>
      <c r="T15" s="61">
        <f>SUM(O15:S15)</f>
        <v>2193000</v>
      </c>
      <c r="U15" s="147">
        <f>SUM(U3:U13)</f>
        <v>0</v>
      </c>
      <c r="V15" s="147">
        <f t="shared" ref="V15:X15" si="21">SUM(V3:V13)</f>
        <v>0</v>
      </c>
      <c r="W15" s="147">
        <f t="shared" si="21"/>
        <v>2193000</v>
      </c>
      <c r="X15" s="147">
        <f t="shared" si="21"/>
        <v>0</v>
      </c>
    </row>
    <row r="16" spans="2:24" s="2" customFormat="1" x14ac:dyDescent="0.35">
      <c r="C16" s="16"/>
      <c r="D16" s="9"/>
      <c r="E16" s="9"/>
      <c r="F16" s="9"/>
      <c r="G16" s="9"/>
      <c r="H16" s="9"/>
      <c r="I16" s="9"/>
      <c r="J16" s="5"/>
      <c r="K16" s="5"/>
      <c r="L16" s="5"/>
      <c r="M16" s="5"/>
      <c r="N16" s="4"/>
      <c r="O16" s="41"/>
      <c r="P16" s="41"/>
      <c r="Q16" s="41"/>
      <c r="R16" s="41"/>
      <c r="S16" s="41"/>
      <c r="T16" s="42"/>
      <c r="U16" s="42"/>
      <c r="V16" s="42"/>
      <c r="W16" s="42"/>
      <c r="X16" s="42"/>
    </row>
    <row r="18" spans="2:24" ht="15" thickBot="1" x14ac:dyDescent="0.4">
      <c r="H18" s="53" t="s">
        <v>87</v>
      </c>
      <c r="I18" s="50"/>
      <c r="J18" s="50"/>
      <c r="K18" s="50"/>
      <c r="L18" s="50"/>
      <c r="M18" s="54"/>
      <c r="N18" s="55"/>
      <c r="O18" s="58" t="s">
        <v>86</v>
      </c>
      <c r="P18" s="58" t="s">
        <v>86</v>
      </c>
      <c r="Q18" s="58" t="s">
        <v>86</v>
      </c>
      <c r="R18" s="58" t="s">
        <v>86</v>
      </c>
      <c r="S18" s="58" t="s">
        <v>86</v>
      </c>
      <c r="T18" s="58" t="s">
        <v>86</v>
      </c>
      <c r="U18" s="146" t="s">
        <v>85</v>
      </c>
      <c r="V18" s="146" t="s">
        <v>264</v>
      </c>
      <c r="W18" s="146" t="s">
        <v>265</v>
      </c>
      <c r="X18" s="146" t="s">
        <v>108</v>
      </c>
    </row>
    <row r="19" spans="2:24" s="71" customFormat="1" ht="43.5" x14ac:dyDescent="0.35">
      <c r="C19" s="75" t="s">
        <v>91</v>
      </c>
      <c r="D19" s="74" t="s">
        <v>7</v>
      </c>
      <c r="E19" s="74" t="s">
        <v>88</v>
      </c>
      <c r="F19" s="74" t="s">
        <v>89</v>
      </c>
      <c r="G19" s="74" t="s">
        <v>26</v>
      </c>
      <c r="H19" s="72">
        <v>2021</v>
      </c>
      <c r="I19" s="72">
        <v>2022</v>
      </c>
      <c r="J19" s="72">
        <v>2023</v>
      </c>
      <c r="K19" s="72">
        <v>2024</v>
      </c>
      <c r="L19" s="72">
        <v>2025</v>
      </c>
      <c r="M19" s="69" t="s">
        <v>36</v>
      </c>
      <c r="N19" s="62" t="s">
        <v>37</v>
      </c>
      <c r="O19" s="73" t="s">
        <v>64</v>
      </c>
      <c r="P19" s="73" t="s">
        <v>39</v>
      </c>
      <c r="Q19" s="73" t="s">
        <v>65</v>
      </c>
      <c r="R19" s="73" t="s">
        <v>66</v>
      </c>
      <c r="S19" s="120" t="s">
        <v>67</v>
      </c>
      <c r="T19" s="70" t="s">
        <v>4</v>
      </c>
      <c r="U19" s="153"/>
      <c r="V19" s="145"/>
      <c r="W19" s="145"/>
      <c r="X19" s="154"/>
    </row>
    <row r="20" spans="2:24" s="45" customFormat="1" x14ac:dyDescent="0.35">
      <c r="B20" s="171" t="s">
        <v>164</v>
      </c>
      <c r="C20" s="286" t="s">
        <v>16</v>
      </c>
      <c r="D20" s="65" t="s">
        <v>233</v>
      </c>
      <c r="E20" s="65"/>
      <c r="F20" s="66"/>
      <c r="G20" s="65" t="s">
        <v>27</v>
      </c>
      <c r="H20" s="51"/>
      <c r="I20" s="51"/>
      <c r="J20" s="51"/>
      <c r="K20" s="51"/>
      <c r="L20" s="51"/>
      <c r="M20" s="56">
        <f>SUM(H20:K20)</f>
        <v>0</v>
      </c>
      <c r="N20" s="63">
        <v>60000</v>
      </c>
      <c r="O20" s="48">
        <f>H20*$N20</f>
        <v>0</v>
      </c>
      <c r="P20" s="48">
        <f>I20*$N20</f>
        <v>0</v>
      </c>
      <c r="Q20" s="48">
        <f>J20*$N20</f>
        <v>0</v>
      </c>
      <c r="R20" s="48">
        <f>K20*$N20</f>
        <v>0</v>
      </c>
      <c r="S20" s="121">
        <f>L20*$N20</f>
        <v>0</v>
      </c>
      <c r="T20" s="59">
        <f>SUM(O20:S20)</f>
        <v>0</v>
      </c>
      <c r="U20" s="155">
        <f t="shared" ref="U20:V35" si="22">IF($E20=U$18,$T20,0)</f>
        <v>0</v>
      </c>
      <c r="V20" s="148">
        <f t="shared" si="22"/>
        <v>0</v>
      </c>
      <c r="W20" s="148">
        <f t="shared" ref="W20:X20" si="23">IF($E20=W$18,$T20,0)</f>
        <v>0</v>
      </c>
      <c r="X20" s="156">
        <f t="shared" si="23"/>
        <v>0</v>
      </c>
    </row>
    <row r="21" spans="2:24" s="45" customFormat="1" x14ac:dyDescent="0.35">
      <c r="B21" s="171" t="s">
        <v>164</v>
      </c>
      <c r="C21" s="286"/>
      <c r="D21" s="65" t="s">
        <v>110</v>
      </c>
      <c r="E21" s="65" t="s">
        <v>108</v>
      </c>
      <c r="F21" s="66">
        <v>30</v>
      </c>
      <c r="G21" s="65" t="s">
        <v>6</v>
      </c>
      <c r="H21" s="51">
        <v>0.5</v>
      </c>
      <c r="I21" s="51">
        <v>0.5</v>
      </c>
      <c r="J21" s="51"/>
      <c r="K21" s="51"/>
      <c r="L21" s="51"/>
      <c r="M21" s="56">
        <f>SUM(H21:K21)</f>
        <v>1</v>
      </c>
      <c r="N21" s="63">
        <v>1000000</v>
      </c>
      <c r="O21" s="48">
        <f t="shared" ref="O21:S35" si="24">H21*$N21</f>
        <v>500000</v>
      </c>
      <c r="P21" s="48">
        <f t="shared" si="24"/>
        <v>500000</v>
      </c>
      <c r="Q21" s="48">
        <f t="shared" si="24"/>
        <v>0</v>
      </c>
      <c r="R21" s="48">
        <f t="shared" si="24"/>
        <v>0</v>
      </c>
      <c r="S21" s="121">
        <f t="shared" si="24"/>
        <v>0</v>
      </c>
      <c r="T21" s="59">
        <f t="shared" ref="T21:T35" si="25">SUM(O21:S21)</f>
        <v>1000000</v>
      </c>
      <c r="U21" s="155">
        <f t="shared" si="22"/>
        <v>0</v>
      </c>
      <c r="V21" s="148">
        <f t="shared" si="22"/>
        <v>0</v>
      </c>
      <c r="W21" s="148">
        <f t="shared" ref="W21:X35" si="26">IF($E21=W$18,$T21,0)</f>
        <v>0</v>
      </c>
      <c r="X21" s="156">
        <f t="shared" si="26"/>
        <v>1000000</v>
      </c>
    </row>
    <row r="22" spans="2:24" s="45" customFormat="1" x14ac:dyDescent="0.35">
      <c r="B22" s="171" t="s">
        <v>164</v>
      </c>
      <c r="C22" s="286"/>
      <c r="D22" s="65" t="s">
        <v>69</v>
      </c>
      <c r="E22" s="65" t="s">
        <v>265</v>
      </c>
      <c r="F22" s="66">
        <v>10</v>
      </c>
      <c r="G22" s="65" t="s">
        <v>27</v>
      </c>
      <c r="H22" s="51">
        <v>5</v>
      </c>
      <c r="I22" s="51">
        <v>5</v>
      </c>
      <c r="J22" s="51">
        <v>5</v>
      </c>
      <c r="K22" s="51">
        <v>5</v>
      </c>
      <c r="L22" s="51">
        <v>5</v>
      </c>
      <c r="M22" s="56">
        <f>SUM(H22:L22)</f>
        <v>25</v>
      </c>
      <c r="N22" s="63">
        <v>15000</v>
      </c>
      <c r="O22" s="48">
        <f t="shared" si="24"/>
        <v>75000</v>
      </c>
      <c r="P22" s="48">
        <f t="shared" si="24"/>
        <v>75000</v>
      </c>
      <c r="Q22" s="48">
        <f t="shared" si="24"/>
        <v>75000</v>
      </c>
      <c r="R22" s="48">
        <f t="shared" si="24"/>
        <v>75000</v>
      </c>
      <c r="S22" s="121">
        <f t="shared" si="24"/>
        <v>75000</v>
      </c>
      <c r="T22" s="59">
        <f t="shared" si="25"/>
        <v>375000</v>
      </c>
      <c r="U22" s="155">
        <f t="shared" si="22"/>
        <v>0</v>
      </c>
      <c r="V22" s="148">
        <f t="shared" si="22"/>
        <v>0</v>
      </c>
      <c r="W22" s="148">
        <f t="shared" si="26"/>
        <v>375000</v>
      </c>
      <c r="X22" s="156">
        <f t="shared" si="26"/>
        <v>0</v>
      </c>
    </row>
    <row r="23" spans="2:24" s="45" customFormat="1" x14ac:dyDescent="0.35">
      <c r="B23" s="171" t="s">
        <v>164</v>
      </c>
      <c r="C23" s="286"/>
      <c r="D23" s="65" t="s">
        <v>124</v>
      </c>
      <c r="E23" s="65" t="s">
        <v>265</v>
      </c>
      <c r="F23" s="66">
        <v>10</v>
      </c>
      <c r="G23" s="65" t="s">
        <v>27</v>
      </c>
      <c r="H23" s="51">
        <v>25</v>
      </c>
      <c r="I23" s="51">
        <v>25</v>
      </c>
      <c r="J23" s="51">
        <v>25</v>
      </c>
      <c r="K23" s="51"/>
      <c r="L23" s="51"/>
      <c r="M23" s="56">
        <f t="shared" ref="M23:M27" si="27">SUM(H23:L23)</f>
        <v>75</v>
      </c>
      <c r="N23" s="63">
        <v>500</v>
      </c>
      <c r="O23" s="48">
        <f t="shared" si="24"/>
        <v>12500</v>
      </c>
      <c r="P23" s="48">
        <f t="shared" si="24"/>
        <v>12500</v>
      </c>
      <c r="Q23" s="48">
        <f t="shared" si="24"/>
        <v>12500</v>
      </c>
      <c r="R23" s="48">
        <f t="shared" si="24"/>
        <v>0</v>
      </c>
      <c r="S23" s="121">
        <f t="shared" si="24"/>
        <v>0</v>
      </c>
      <c r="T23" s="140">
        <f t="shared" si="25"/>
        <v>37500</v>
      </c>
      <c r="U23" s="155">
        <f t="shared" si="22"/>
        <v>0</v>
      </c>
      <c r="V23" s="148">
        <f t="shared" si="22"/>
        <v>0</v>
      </c>
      <c r="W23" s="148">
        <f t="shared" si="26"/>
        <v>37500</v>
      </c>
      <c r="X23" s="156">
        <f t="shared" si="26"/>
        <v>0</v>
      </c>
    </row>
    <row r="24" spans="2:24" s="45" customFormat="1" x14ac:dyDescent="0.35">
      <c r="B24" s="171" t="s">
        <v>164</v>
      </c>
      <c r="C24" s="286"/>
      <c r="D24" s="65" t="s">
        <v>125</v>
      </c>
      <c r="E24" s="65" t="s">
        <v>265</v>
      </c>
      <c r="F24" s="66">
        <v>10</v>
      </c>
      <c r="G24" s="65" t="s">
        <v>27</v>
      </c>
      <c r="H24" s="51">
        <v>5</v>
      </c>
      <c r="I24" s="51">
        <v>5</v>
      </c>
      <c r="J24" s="51">
        <v>5</v>
      </c>
      <c r="K24" s="51"/>
      <c r="L24" s="51"/>
      <c r="M24" s="56">
        <f t="shared" si="27"/>
        <v>15</v>
      </c>
      <c r="N24" s="63">
        <v>5000</v>
      </c>
      <c r="O24" s="48">
        <f t="shared" si="24"/>
        <v>25000</v>
      </c>
      <c r="P24" s="48">
        <f t="shared" si="24"/>
        <v>25000</v>
      </c>
      <c r="Q24" s="48">
        <f t="shared" si="24"/>
        <v>25000</v>
      </c>
      <c r="R24" s="48">
        <f t="shared" si="24"/>
        <v>0</v>
      </c>
      <c r="S24" s="121">
        <f t="shared" si="24"/>
        <v>0</v>
      </c>
      <c r="T24" s="140">
        <f t="shared" si="25"/>
        <v>75000</v>
      </c>
      <c r="U24" s="155">
        <f t="shared" si="22"/>
        <v>0</v>
      </c>
      <c r="V24" s="148">
        <f t="shared" si="22"/>
        <v>0</v>
      </c>
      <c r="W24" s="148">
        <f t="shared" si="26"/>
        <v>75000</v>
      </c>
      <c r="X24" s="156">
        <f t="shared" si="26"/>
        <v>0</v>
      </c>
    </row>
    <row r="25" spans="2:24" s="45" customFormat="1" x14ac:dyDescent="0.35">
      <c r="B25" s="171" t="s">
        <v>164</v>
      </c>
      <c r="C25" s="286"/>
      <c r="D25" s="65" t="s">
        <v>126</v>
      </c>
      <c r="E25" s="65" t="s">
        <v>265</v>
      </c>
      <c r="F25" s="66">
        <v>10</v>
      </c>
      <c r="G25" s="65" t="s">
        <v>27</v>
      </c>
      <c r="H25" s="51"/>
      <c r="I25" s="51">
        <v>1</v>
      </c>
      <c r="J25" s="51"/>
      <c r="K25" s="51"/>
      <c r="L25" s="51"/>
      <c r="M25" s="56">
        <f t="shared" si="27"/>
        <v>1</v>
      </c>
      <c r="N25" s="63">
        <v>50000</v>
      </c>
      <c r="O25" s="48">
        <f t="shared" si="24"/>
        <v>0</v>
      </c>
      <c r="P25" s="48">
        <f t="shared" si="24"/>
        <v>50000</v>
      </c>
      <c r="Q25" s="48">
        <f t="shared" si="24"/>
        <v>0</v>
      </c>
      <c r="R25" s="48">
        <f t="shared" si="24"/>
        <v>0</v>
      </c>
      <c r="S25" s="121">
        <f t="shared" si="24"/>
        <v>0</v>
      </c>
      <c r="T25" s="140">
        <f t="shared" si="25"/>
        <v>50000</v>
      </c>
      <c r="U25" s="155">
        <f t="shared" si="22"/>
        <v>0</v>
      </c>
      <c r="V25" s="148">
        <f t="shared" si="22"/>
        <v>0</v>
      </c>
      <c r="W25" s="148">
        <f t="shared" si="26"/>
        <v>50000</v>
      </c>
      <c r="X25" s="156">
        <f t="shared" si="26"/>
        <v>0</v>
      </c>
    </row>
    <row r="26" spans="2:24" s="45" customFormat="1" x14ac:dyDescent="0.35">
      <c r="B26" s="171" t="s">
        <v>164</v>
      </c>
      <c r="C26" s="286"/>
      <c r="D26" s="65" t="s">
        <v>127</v>
      </c>
      <c r="E26" s="65" t="s">
        <v>265</v>
      </c>
      <c r="F26" s="66">
        <v>10</v>
      </c>
      <c r="G26" s="65" t="s">
        <v>27</v>
      </c>
      <c r="H26" s="51"/>
      <c r="I26" s="51">
        <v>1</v>
      </c>
      <c r="J26" s="51"/>
      <c r="K26" s="51"/>
      <c r="L26" s="51"/>
      <c r="M26" s="56">
        <f t="shared" si="27"/>
        <v>1</v>
      </c>
      <c r="N26" s="63">
        <v>6000</v>
      </c>
      <c r="O26" s="48">
        <f t="shared" si="24"/>
        <v>0</v>
      </c>
      <c r="P26" s="48">
        <f t="shared" si="24"/>
        <v>6000</v>
      </c>
      <c r="Q26" s="48">
        <f t="shared" si="24"/>
        <v>0</v>
      </c>
      <c r="R26" s="48">
        <f t="shared" si="24"/>
        <v>0</v>
      </c>
      <c r="S26" s="121">
        <f t="shared" si="24"/>
        <v>0</v>
      </c>
      <c r="T26" s="140">
        <f t="shared" si="25"/>
        <v>6000</v>
      </c>
      <c r="U26" s="155">
        <f t="shared" si="22"/>
        <v>0</v>
      </c>
      <c r="V26" s="148">
        <f t="shared" si="22"/>
        <v>0</v>
      </c>
      <c r="W26" s="148">
        <f t="shared" si="26"/>
        <v>6000</v>
      </c>
      <c r="X26" s="156">
        <f t="shared" si="26"/>
        <v>0</v>
      </c>
    </row>
    <row r="27" spans="2:24" s="45" customFormat="1" x14ac:dyDescent="0.35">
      <c r="B27" s="171" t="s">
        <v>164</v>
      </c>
      <c r="C27" s="286"/>
      <c r="D27" s="65" t="s">
        <v>128</v>
      </c>
      <c r="E27" s="65" t="s">
        <v>265</v>
      </c>
      <c r="F27" s="66">
        <v>10</v>
      </c>
      <c r="G27" s="65" t="s">
        <v>27</v>
      </c>
      <c r="H27" s="51">
        <v>1</v>
      </c>
      <c r="I27" s="51"/>
      <c r="J27" s="51"/>
      <c r="K27" s="51"/>
      <c r="L27" s="51"/>
      <c r="M27" s="56">
        <f t="shared" si="27"/>
        <v>1</v>
      </c>
      <c r="N27" s="63">
        <v>20000</v>
      </c>
      <c r="O27" s="48">
        <f t="shared" si="24"/>
        <v>20000</v>
      </c>
      <c r="P27" s="48">
        <f t="shared" si="24"/>
        <v>0</v>
      </c>
      <c r="Q27" s="48">
        <f t="shared" si="24"/>
        <v>0</v>
      </c>
      <c r="R27" s="48">
        <f t="shared" si="24"/>
        <v>0</v>
      </c>
      <c r="S27" s="121">
        <f t="shared" si="24"/>
        <v>0</v>
      </c>
      <c r="T27" s="140">
        <f t="shared" si="25"/>
        <v>20000</v>
      </c>
      <c r="U27" s="155">
        <f t="shared" si="22"/>
        <v>0</v>
      </c>
      <c r="V27" s="148">
        <f t="shared" si="22"/>
        <v>0</v>
      </c>
      <c r="W27" s="148">
        <f t="shared" si="26"/>
        <v>20000</v>
      </c>
      <c r="X27" s="156">
        <f t="shared" si="26"/>
        <v>0</v>
      </c>
    </row>
    <row r="28" spans="2:24" s="45" customFormat="1" x14ac:dyDescent="0.35">
      <c r="B28" s="171" t="s">
        <v>164</v>
      </c>
      <c r="C28" s="286"/>
      <c r="D28" s="65" t="s">
        <v>130</v>
      </c>
      <c r="E28" s="65" t="s">
        <v>265</v>
      </c>
      <c r="F28" s="66">
        <v>10</v>
      </c>
      <c r="G28" s="65" t="s">
        <v>27</v>
      </c>
      <c r="H28" s="51">
        <v>1</v>
      </c>
      <c r="I28" s="51">
        <v>1</v>
      </c>
      <c r="J28" s="51"/>
      <c r="K28" s="51"/>
      <c r="L28" s="51"/>
      <c r="M28" s="56">
        <f>SUM(H28:L28)</f>
        <v>2</v>
      </c>
      <c r="N28" s="63">
        <v>20000</v>
      </c>
      <c r="O28" s="48">
        <f t="shared" si="24"/>
        <v>20000</v>
      </c>
      <c r="P28" s="48">
        <f t="shared" si="24"/>
        <v>20000</v>
      </c>
      <c r="Q28" s="48">
        <f t="shared" si="24"/>
        <v>0</v>
      </c>
      <c r="R28" s="48">
        <f t="shared" si="24"/>
        <v>0</v>
      </c>
      <c r="S28" s="121">
        <f t="shared" si="24"/>
        <v>0</v>
      </c>
      <c r="T28" s="140">
        <f t="shared" si="25"/>
        <v>40000</v>
      </c>
      <c r="U28" s="155">
        <f t="shared" si="22"/>
        <v>0</v>
      </c>
      <c r="V28" s="148">
        <f t="shared" si="22"/>
        <v>0</v>
      </c>
      <c r="W28" s="148">
        <f t="shared" si="26"/>
        <v>40000</v>
      </c>
      <c r="X28" s="156">
        <f t="shared" si="26"/>
        <v>0</v>
      </c>
    </row>
    <row r="29" spans="2:24" s="45" customFormat="1" x14ac:dyDescent="0.35">
      <c r="B29" s="171" t="s">
        <v>164</v>
      </c>
      <c r="C29" s="286"/>
      <c r="D29" s="65" t="s">
        <v>129</v>
      </c>
      <c r="E29" s="65" t="s">
        <v>265</v>
      </c>
      <c r="F29" s="66">
        <v>10</v>
      </c>
      <c r="G29" s="65" t="s">
        <v>27</v>
      </c>
      <c r="H29" s="51"/>
      <c r="I29" s="51">
        <v>1</v>
      </c>
      <c r="J29" s="51"/>
      <c r="K29" s="51"/>
      <c r="L29" s="51"/>
      <c r="M29" s="56">
        <f>SUM(H29:L29)</f>
        <v>1</v>
      </c>
      <c r="N29" s="63">
        <v>10000</v>
      </c>
      <c r="O29" s="48">
        <f t="shared" si="24"/>
        <v>0</v>
      </c>
      <c r="P29" s="48">
        <f t="shared" si="24"/>
        <v>10000</v>
      </c>
      <c r="Q29" s="48">
        <f>J29*$N29</f>
        <v>0</v>
      </c>
      <c r="R29" s="48">
        <f t="shared" si="24"/>
        <v>0</v>
      </c>
      <c r="S29" s="121">
        <f t="shared" si="24"/>
        <v>0</v>
      </c>
      <c r="T29" s="140">
        <f t="shared" si="25"/>
        <v>10000</v>
      </c>
      <c r="U29" s="155">
        <f t="shared" si="22"/>
        <v>0</v>
      </c>
      <c r="V29" s="148">
        <f t="shared" si="22"/>
        <v>0</v>
      </c>
      <c r="W29" s="148">
        <f t="shared" si="26"/>
        <v>10000</v>
      </c>
      <c r="X29" s="156">
        <f t="shared" si="26"/>
        <v>0</v>
      </c>
    </row>
    <row r="30" spans="2:24" s="45" customFormat="1" x14ac:dyDescent="0.35">
      <c r="B30" s="171" t="s">
        <v>164</v>
      </c>
      <c r="C30" s="286"/>
      <c r="D30" s="65" t="s">
        <v>23</v>
      </c>
      <c r="E30" s="65" t="s">
        <v>265</v>
      </c>
      <c r="F30" s="66">
        <v>5</v>
      </c>
      <c r="G30" s="65" t="s">
        <v>27</v>
      </c>
      <c r="H30" s="51">
        <v>1</v>
      </c>
      <c r="I30" s="51">
        <v>2</v>
      </c>
      <c r="J30" s="51"/>
      <c r="K30" s="51"/>
      <c r="L30" s="51"/>
      <c r="M30" s="56">
        <f t="shared" ref="M30:M35" si="28">SUM(H30:K30)</f>
        <v>3</v>
      </c>
      <c r="N30" s="63">
        <v>36000</v>
      </c>
      <c r="O30" s="48">
        <f t="shared" si="24"/>
        <v>36000</v>
      </c>
      <c r="P30" s="48">
        <f t="shared" si="24"/>
        <v>72000</v>
      </c>
      <c r="Q30" s="48">
        <f t="shared" si="24"/>
        <v>0</v>
      </c>
      <c r="R30" s="48">
        <f t="shared" si="24"/>
        <v>0</v>
      </c>
      <c r="S30" s="121">
        <f t="shared" si="24"/>
        <v>0</v>
      </c>
      <c r="T30" s="59">
        <f t="shared" si="25"/>
        <v>108000</v>
      </c>
      <c r="U30" s="155">
        <f t="shared" si="22"/>
        <v>0</v>
      </c>
      <c r="V30" s="148">
        <f t="shared" si="22"/>
        <v>0</v>
      </c>
      <c r="W30" s="148">
        <f t="shared" si="26"/>
        <v>108000</v>
      </c>
      <c r="X30" s="156">
        <f t="shared" si="26"/>
        <v>0</v>
      </c>
    </row>
    <row r="31" spans="2:24" s="45" customFormat="1" x14ac:dyDescent="0.35">
      <c r="B31" s="171" t="s">
        <v>164</v>
      </c>
      <c r="C31" s="286"/>
      <c r="D31" s="65" t="s">
        <v>24</v>
      </c>
      <c r="E31" s="65"/>
      <c r="F31" s="66"/>
      <c r="G31" s="65" t="s">
        <v>27</v>
      </c>
      <c r="H31" s="51"/>
      <c r="I31" s="51"/>
      <c r="J31" s="51"/>
      <c r="K31" s="51"/>
      <c r="L31" s="51"/>
      <c r="M31" s="56">
        <f t="shared" si="28"/>
        <v>0</v>
      </c>
      <c r="N31" s="63">
        <v>420000</v>
      </c>
      <c r="O31" s="48">
        <f t="shared" si="24"/>
        <v>0</v>
      </c>
      <c r="P31" s="48">
        <f t="shared" si="24"/>
        <v>0</v>
      </c>
      <c r="Q31" s="48">
        <f t="shared" si="24"/>
        <v>0</v>
      </c>
      <c r="R31" s="48">
        <f t="shared" si="24"/>
        <v>0</v>
      </c>
      <c r="S31" s="121">
        <f t="shared" si="24"/>
        <v>0</v>
      </c>
      <c r="T31" s="59">
        <f t="shared" si="25"/>
        <v>0</v>
      </c>
      <c r="U31" s="155">
        <f t="shared" si="22"/>
        <v>0</v>
      </c>
      <c r="V31" s="148">
        <f t="shared" si="22"/>
        <v>0</v>
      </c>
      <c r="W31" s="148">
        <f t="shared" si="26"/>
        <v>0</v>
      </c>
      <c r="X31" s="156">
        <f t="shared" si="26"/>
        <v>0</v>
      </c>
    </row>
    <row r="32" spans="2:24" s="45" customFormat="1" x14ac:dyDescent="0.35">
      <c r="B32" s="171" t="s">
        <v>164</v>
      </c>
      <c r="C32" s="286"/>
      <c r="D32" s="188" t="s">
        <v>234</v>
      </c>
      <c r="E32" s="65" t="s">
        <v>265</v>
      </c>
      <c r="F32" s="66">
        <v>10</v>
      </c>
      <c r="G32" s="65" t="s">
        <v>27</v>
      </c>
      <c r="H32" s="51"/>
      <c r="I32" s="51">
        <v>1</v>
      </c>
      <c r="J32" s="51"/>
      <c r="K32" s="51"/>
      <c r="L32" s="51"/>
      <c r="M32" s="56">
        <f>SUM(H32:L32)</f>
        <v>1</v>
      </c>
      <c r="N32" s="63">
        <v>480000</v>
      </c>
      <c r="O32" s="48">
        <f t="shared" si="24"/>
        <v>0</v>
      </c>
      <c r="P32" s="48">
        <f t="shared" si="24"/>
        <v>480000</v>
      </c>
      <c r="Q32" s="48">
        <f t="shared" si="24"/>
        <v>0</v>
      </c>
      <c r="R32" s="48">
        <f t="shared" si="24"/>
        <v>0</v>
      </c>
      <c r="S32" s="121">
        <f t="shared" si="24"/>
        <v>0</v>
      </c>
      <c r="T32" s="59">
        <f t="shared" si="25"/>
        <v>480000</v>
      </c>
      <c r="U32" s="155">
        <f t="shared" si="22"/>
        <v>0</v>
      </c>
      <c r="V32" s="148">
        <f t="shared" si="22"/>
        <v>0</v>
      </c>
      <c r="W32" s="148">
        <f t="shared" si="26"/>
        <v>480000</v>
      </c>
      <c r="X32" s="156">
        <f t="shared" si="26"/>
        <v>0</v>
      </c>
    </row>
    <row r="33" spans="2:24" s="45" customFormat="1" x14ac:dyDescent="0.35">
      <c r="B33" s="171" t="s">
        <v>164</v>
      </c>
      <c r="C33" s="286"/>
      <c r="D33" s="188" t="s">
        <v>14</v>
      </c>
      <c r="E33" s="65" t="s">
        <v>265</v>
      </c>
      <c r="F33" s="66">
        <v>15</v>
      </c>
      <c r="G33" s="65" t="s">
        <v>27</v>
      </c>
      <c r="H33" s="51"/>
      <c r="I33" s="51">
        <v>1</v>
      </c>
      <c r="J33" s="51"/>
      <c r="K33" s="51"/>
      <c r="L33" s="51"/>
      <c r="M33" s="56">
        <f t="shared" si="28"/>
        <v>1</v>
      </c>
      <c r="N33" s="63">
        <v>240000</v>
      </c>
      <c r="O33" s="48">
        <f t="shared" si="24"/>
        <v>0</v>
      </c>
      <c r="P33" s="48">
        <f t="shared" si="24"/>
        <v>240000</v>
      </c>
      <c r="Q33" s="48">
        <f t="shared" si="24"/>
        <v>0</v>
      </c>
      <c r="R33" s="48">
        <f t="shared" si="24"/>
        <v>0</v>
      </c>
      <c r="S33" s="121">
        <f t="shared" si="24"/>
        <v>0</v>
      </c>
      <c r="T33" s="59">
        <f t="shared" si="25"/>
        <v>240000</v>
      </c>
      <c r="U33" s="155">
        <f t="shared" si="22"/>
        <v>0</v>
      </c>
      <c r="V33" s="148">
        <f t="shared" si="22"/>
        <v>0</v>
      </c>
      <c r="W33" s="148">
        <f t="shared" si="26"/>
        <v>240000</v>
      </c>
      <c r="X33" s="156">
        <f t="shared" si="26"/>
        <v>0</v>
      </c>
    </row>
    <row r="34" spans="2:24" s="45" customFormat="1" x14ac:dyDescent="0.35">
      <c r="B34" s="171" t="s">
        <v>164</v>
      </c>
      <c r="C34" s="286"/>
      <c r="D34" s="65" t="s">
        <v>2</v>
      </c>
      <c r="E34" s="65" t="s">
        <v>265</v>
      </c>
      <c r="F34" s="66">
        <v>20</v>
      </c>
      <c r="G34" s="65" t="s">
        <v>27</v>
      </c>
      <c r="H34" s="51"/>
      <c r="I34" s="51">
        <v>1</v>
      </c>
      <c r="J34" s="51"/>
      <c r="K34" s="51"/>
      <c r="L34" s="51"/>
      <c r="M34" s="56">
        <f t="shared" si="28"/>
        <v>1</v>
      </c>
      <c r="N34" s="63">
        <v>2500000</v>
      </c>
      <c r="O34" s="48">
        <f t="shared" si="24"/>
        <v>0</v>
      </c>
      <c r="P34" s="48">
        <f t="shared" si="24"/>
        <v>2500000</v>
      </c>
      <c r="Q34" s="48">
        <f t="shared" si="24"/>
        <v>0</v>
      </c>
      <c r="R34" s="48">
        <f t="shared" si="24"/>
        <v>0</v>
      </c>
      <c r="S34" s="121">
        <f t="shared" si="24"/>
        <v>0</v>
      </c>
      <c r="T34" s="59">
        <f t="shared" si="25"/>
        <v>2500000</v>
      </c>
      <c r="U34" s="155">
        <f t="shared" si="22"/>
        <v>0</v>
      </c>
      <c r="V34" s="148">
        <f t="shared" si="22"/>
        <v>0</v>
      </c>
      <c r="W34" s="148">
        <f t="shared" si="26"/>
        <v>2500000</v>
      </c>
      <c r="X34" s="156">
        <f t="shared" si="26"/>
        <v>0</v>
      </c>
    </row>
    <row r="35" spans="2:24" s="45" customFormat="1" ht="15" thickBot="1" x14ac:dyDescent="0.4">
      <c r="B35" s="171" t="s">
        <v>164</v>
      </c>
      <c r="C35" s="287"/>
      <c r="D35" s="67" t="s">
        <v>38</v>
      </c>
      <c r="E35" s="65" t="s">
        <v>265</v>
      </c>
      <c r="F35" s="68">
        <v>30</v>
      </c>
      <c r="G35" s="67" t="s">
        <v>6</v>
      </c>
      <c r="H35" s="52">
        <f>H34</f>
        <v>0</v>
      </c>
      <c r="I35" s="52">
        <f t="shared" ref="I35:L35" si="29">I34</f>
        <v>1</v>
      </c>
      <c r="J35" s="52">
        <f t="shared" si="29"/>
        <v>0</v>
      </c>
      <c r="K35" s="52">
        <f t="shared" si="29"/>
        <v>0</v>
      </c>
      <c r="L35" s="52">
        <f t="shared" si="29"/>
        <v>0</v>
      </c>
      <c r="M35" s="57">
        <f t="shared" si="28"/>
        <v>1</v>
      </c>
      <c r="N35" s="64">
        <v>500000</v>
      </c>
      <c r="O35" s="49">
        <f t="shared" si="24"/>
        <v>0</v>
      </c>
      <c r="P35" s="49">
        <f t="shared" si="24"/>
        <v>500000</v>
      </c>
      <c r="Q35" s="49">
        <f t="shared" si="24"/>
        <v>0</v>
      </c>
      <c r="R35" s="49">
        <f t="shared" si="24"/>
        <v>0</v>
      </c>
      <c r="S35" s="122">
        <f t="shared" si="24"/>
        <v>0</v>
      </c>
      <c r="T35" s="60">
        <f t="shared" si="25"/>
        <v>500000</v>
      </c>
      <c r="U35" s="157">
        <f t="shared" si="22"/>
        <v>0</v>
      </c>
      <c r="V35" s="158">
        <f t="shared" si="22"/>
        <v>0</v>
      </c>
      <c r="W35" s="158">
        <f t="shared" si="26"/>
        <v>500000</v>
      </c>
      <c r="X35" s="159">
        <f t="shared" si="26"/>
        <v>0</v>
      </c>
    </row>
    <row r="36" spans="2:24" s="45" customFormat="1" ht="15" thickBot="1" x14ac:dyDescent="0.4">
      <c r="C36" s="46"/>
      <c r="D36" s="46"/>
      <c r="E36" s="46"/>
      <c r="F36" s="46"/>
      <c r="G36" s="46"/>
      <c r="H36" s="46"/>
      <c r="I36" s="46"/>
      <c r="J36" s="46"/>
      <c r="K36" s="46"/>
      <c r="L36" s="46"/>
      <c r="M36" s="46"/>
      <c r="N36" s="46"/>
      <c r="O36" s="46"/>
      <c r="P36" s="46"/>
      <c r="Q36" s="46"/>
      <c r="R36" s="46"/>
      <c r="S36" s="46"/>
      <c r="T36" s="46"/>
      <c r="U36" s="152"/>
      <c r="V36" s="152"/>
      <c r="W36" s="152"/>
      <c r="X36" s="152"/>
    </row>
    <row r="37" spans="2:24" s="45" customFormat="1" ht="15" thickBot="1" x14ac:dyDescent="0.4">
      <c r="C37" s="47"/>
      <c r="D37" s="46"/>
      <c r="E37" s="46"/>
      <c r="F37" s="46"/>
      <c r="G37" s="46"/>
      <c r="H37" s="46"/>
      <c r="I37" s="46"/>
      <c r="J37" s="46"/>
      <c r="K37" s="46"/>
      <c r="L37" s="87"/>
      <c r="M37" s="88"/>
      <c r="N37" s="89" t="s">
        <v>94</v>
      </c>
      <c r="O37" s="83">
        <f>SUM(O20:O35)</f>
        <v>688500</v>
      </c>
      <c r="P37" s="84">
        <f>SUM(P20:P35)</f>
        <v>4490500</v>
      </c>
      <c r="Q37" s="84">
        <f>SUM(Q20:Q35)</f>
        <v>112500</v>
      </c>
      <c r="R37" s="84">
        <f>SUM(R20:R35)</f>
        <v>75000</v>
      </c>
      <c r="S37" s="85">
        <f>SUM(S20:S35)</f>
        <v>75000</v>
      </c>
      <c r="T37" s="61">
        <f>SUM(O37:S37)</f>
        <v>5441500</v>
      </c>
      <c r="U37" s="147">
        <f t="shared" ref="U37:X37" si="30">SUM(U20:U35)</f>
        <v>0</v>
      </c>
      <c r="V37" s="149">
        <f t="shared" si="30"/>
        <v>0</v>
      </c>
      <c r="W37" s="149">
        <f t="shared" si="30"/>
        <v>4441500</v>
      </c>
      <c r="X37" s="150">
        <f t="shared" si="30"/>
        <v>1000000</v>
      </c>
    </row>
    <row r="38" spans="2:24" x14ac:dyDescent="0.35">
      <c r="C38" s="11"/>
      <c r="D38" s="2"/>
      <c r="E38" s="2"/>
      <c r="F38" s="2"/>
      <c r="G38" s="2"/>
      <c r="H38" s="2"/>
      <c r="I38" s="2"/>
      <c r="J38" s="2"/>
      <c r="K38" s="2"/>
      <c r="L38" s="2"/>
      <c r="M38" s="2"/>
      <c r="N38" s="36"/>
      <c r="O38" s="37"/>
      <c r="P38" s="37"/>
      <c r="Q38" s="37"/>
      <c r="R38" s="37"/>
      <c r="S38" s="37"/>
      <c r="T38" s="38"/>
      <c r="U38" s="38"/>
      <c r="V38" s="38"/>
      <c r="W38" s="38"/>
      <c r="X38" s="38"/>
    </row>
    <row r="39" spans="2:24" ht="15" thickBot="1" x14ac:dyDescent="0.4">
      <c r="C39" s="9"/>
      <c r="D39" s="2"/>
      <c r="E39" s="2"/>
      <c r="F39" s="2"/>
      <c r="G39" s="2"/>
      <c r="H39" s="2"/>
      <c r="I39" s="2"/>
      <c r="J39" s="2"/>
      <c r="K39" s="2"/>
      <c r="L39" s="2"/>
      <c r="M39" s="2"/>
      <c r="N39" s="36"/>
      <c r="O39" s="37"/>
      <c r="P39" s="37"/>
      <c r="Q39" s="37"/>
      <c r="R39" s="37"/>
      <c r="S39" s="37"/>
      <c r="T39" s="38"/>
      <c r="U39" s="38"/>
      <c r="V39" s="38"/>
      <c r="W39" s="38"/>
      <c r="X39" s="38"/>
    </row>
    <row r="40" spans="2:24" s="71" customFormat="1" ht="43.5" x14ac:dyDescent="0.35">
      <c r="C40" s="75" t="s">
        <v>91</v>
      </c>
      <c r="D40" s="74" t="s">
        <v>7</v>
      </c>
      <c r="E40" s="74" t="str">
        <f>E19</f>
        <v>Fin.
AFD, EU, GCF, GVNT</v>
      </c>
      <c r="F40" s="74" t="str">
        <f>F19</f>
        <v>Durée de vie (an)</v>
      </c>
      <c r="G40" s="74" t="s">
        <v>26</v>
      </c>
      <c r="H40" s="72">
        <v>2021</v>
      </c>
      <c r="I40" s="72">
        <v>2022</v>
      </c>
      <c r="J40" s="72">
        <v>2023</v>
      </c>
      <c r="K40" s="72">
        <v>2024</v>
      </c>
      <c r="L40" s="72">
        <v>2025</v>
      </c>
      <c r="M40" s="69" t="s">
        <v>36</v>
      </c>
      <c r="N40" s="62" t="s">
        <v>37</v>
      </c>
      <c r="O40" s="73" t="s">
        <v>64</v>
      </c>
      <c r="P40" s="73" t="s">
        <v>39</v>
      </c>
      <c r="Q40" s="73" t="s">
        <v>65</v>
      </c>
      <c r="R40" s="73" t="s">
        <v>66</v>
      </c>
      <c r="S40" s="73" t="s">
        <v>67</v>
      </c>
      <c r="T40" s="70" t="s">
        <v>5</v>
      </c>
      <c r="U40" s="153"/>
      <c r="V40" s="145"/>
      <c r="W40" s="145"/>
      <c r="X40" s="154"/>
    </row>
    <row r="41" spans="2:24" x14ac:dyDescent="0.35">
      <c r="B41" s="170" t="s">
        <v>165</v>
      </c>
      <c r="C41" s="288" t="s">
        <v>13</v>
      </c>
      <c r="D41" s="65" t="s">
        <v>18</v>
      </c>
      <c r="E41" s="65" t="s">
        <v>265</v>
      </c>
      <c r="F41" s="66">
        <v>10</v>
      </c>
      <c r="G41" s="65" t="s">
        <v>28</v>
      </c>
      <c r="H41" s="51">
        <v>1</v>
      </c>
      <c r="I41" s="51"/>
      <c r="J41" s="51"/>
      <c r="K41" s="51"/>
      <c r="L41" s="51"/>
      <c r="M41" s="56">
        <f>SUM(H41:L41)</f>
        <v>1</v>
      </c>
      <c r="N41" s="63">
        <v>300000</v>
      </c>
      <c r="O41" s="48">
        <f>H41*$N41</f>
        <v>300000</v>
      </c>
      <c r="P41" s="48">
        <f>I41*$N41</f>
        <v>0</v>
      </c>
      <c r="Q41" s="48">
        <f>J41*$N41</f>
        <v>0</v>
      </c>
      <c r="R41" s="48">
        <f>K41*$N41</f>
        <v>0</v>
      </c>
      <c r="S41" s="48">
        <f>L41*$N41</f>
        <v>0</v>
      </c>
      <c r="T41" s="59">
        <f>SUM(O41:S41)</f>
        <v>300000</v>
      </c>
      <c r="U41" s="155">
        <f>IF($E41=U$18,$T41,0)</f>
        <v>0</v>
      </c>
      <c r="V41" s="148">
        <f t="shared" ref="V41:X52" si="31">IF($E41=V$18,$T41,0)</f>
        <v>0</v>
      </c>
      <c r="W41" s="148">
        <f t="shared" si="31"/>
        <v>300000</v>
      </c>
      <c r="X41" s="156">
        <f t="shared" si="31"/>
        <v>0</v>
      </c>
    </row>
    <row r="42" spans="2:24" x14ac:dyDescent="0.35">
      <c r="B42" s="170" t="s">
        <v>165</v>
      </c>
      <c r="C42" s="284"/>
      <c r="D42" s="65" t="s">
        <v>80</v>
      </c>
      <c r="E42" s="65" t="s">
        <v>265</v>
      </c>
      <c r="F42" s="66">
        <v>10</v>
      </c>
      <c r="G42" s="65" t="s">
        <v>27</v>
      </c>
      <c r="H42" s="51">
        <v>1</v>
      </c>
      <c r="I42" s="51"/>
      <c r="J42" s="51"/>
      <c r="K42" s="51"/>
      <c r="L42" s="51"/>
      <c r="M42" s="56">
        <f t="shared" ref="M42:M52" si="32">SUM(H42:L42)</f>
        <v>1</v>
      </c>
      <c r="N42" s="63">
        <v>300000</v>
      </c>
      <c r="O42" s="48">
        <f t="shared" ref="O42:S52" si="33">H42*$N42</f>
        <v>300000</v>
      </c>
      <c r="P42" s="48">
        <f t="shared" si="33"/>
        <v>0</v>
      </c>
      <c r="Q42" s="48">
        <f t="shared" si="33"/>
        <v>0</v>
      </c>
      <c r="R42" s="48">
        <f t="shared" si="33"/>
        <v>0</v>
      </c>
      <c r="S42" s="48">
        <f t="shared" si="33"/>
        <v>0</v>
      </c>
      <c r="T42" s="59">
        <f t="shared" ref="T42:T52" si="34">SUM(O42:S42)</f>
        <v>300000</v>
      </c>
      <c r="U42" s="155">
        <f t="shared" ref="U42:U52" si="35">IF($E42=U$18,$T42,0)</f>
        <v>0</v>
      </c>
      <c r="V42" s="148">
        <f t="shared" si="31"/>
        <v>0</v>
      </c>
      <c r="W42" s="148">
        <f t="shared" si="31"/>
        <v>300000</v>
      </c>
      <c r="X42" s="156">
        <f t="shared" si="31"/>
        <v>0</v>
      </c>
    </row>
    <row r="43" spans="2:24" x14ac:dyDescent="0.35">
      <c r="B43" s="170" t="s">
        <v>165</v>
      </c>
      <c r="C43" s="284"/>
      <c r="D43" s="65" t="s">
        <v>35</v>
      </c>
      <c r="E43" s="65" t="s">
        <v>265</v>
      </c>
      <c r="F43" s="66">
        <v>10</v>
      </c>
      <c r="G43" s="65" t="s">
        <v>27</v>
      </c>
      <c r="H43" s="51">
        <v>1</v>
      </c>
      <c r="I43" s="51"/>
      <c r="J43" s="51"/>
      <c r="K43" s="51"/>
      <c r="L43" s="51"/>
      <c r="M43" s="56">
        <f t="shared" si="32"/>
        <v>1</v>
      </c>
      <c r="N43" s="63">
        <v>200000</v>
      </c>
      <c r="O43" s="48">
        <f t="shared" si="33"/>
        <v>200000</v>
      </c>
      <c r="P43" s="48">
        <f t="shared" si="33"/>
        <v>0</v>
      </c>
      <c r="Q43" s="48">
        <f t="shared" si="33"/>
        <v>0</v>
      </c>
      <c r="R43" s="48">
        <f t="shared" si="33"/>
        <v>0</v>
      </c>
      <c r="S43" s="48">
        <f t="shared" si="33"/>
        <v>0</v>
      </c>
      <c r="T43" s="59">
        <f t="shared" si="34"/>
        <v>200000</v>
      </c>
      <c r="U43" s="155">
        <f t="shared" si="35"/>
        <v>0</v>
      </c>
      <c r="V43" s="148">
        <f t="shared" si="31"/>
        <v>0</v>
      </c>
      <c r="W43" s="148">
        <f t="shared" si="31"/>
        <v>200000</v>
      </c>
      <c r="X43" s="156">
        <f t="shared" si="31"/>
        <v>0</v>
      </c>
    </row>
    <row r="44" spans="2:24" x14ac:dyDescent="0.35">
      <c r="B44" s="170" t="s">
        <v>165</v>
      </c>
      <c r="C44" s="284"/>
      <c r="D44" s="65" t="s">
        <v>29</v>
      </c>
      <c r="E44" s="65" t="s">
        <v>265</v>
      </c>
      <c r="F44" s="66">
        <v>10</v>
      </c>
      <c r="G44" s="65" t="s">
        <v>27</v>
      </c>
      <c r="H44" s="51"/>
      <c r="I44" s="51">
        <v>1</v>
      </c>
      <c r="J44" s="51"/>
      <c r="K44" s="51"/>
      <c r="L44" s="51"/>
      <c r="M44" s="56">
        <f t="shared" si="32"/>
        <v>1</v>
      </c>
      <c r="N44" s="63">
        <v>300000</v>
      </c>
      <c r="O44" s="48">
        <f t="shared" si="33"/>
        <v>0</v>
      </c>
      <c r="P44" s="48">
        <f t="shared" si="33"/>
        <v>300000</v>
      </c>
      <c r="Q44" s="48">
        <f t="shared" si="33"/>
        <v>0</v>
      </c>
      <c r="R44" s="48">
        <f t="shared" si="33"/>
        <v>0</v>
      </c>
      <c r="S44" s="48">
        <f t="shared" si="33"/>
        <v>0</v>
      </c>
      <c r="T44" s="59">
        <f t="shared" si="34"/>
        <v>300000</v>
      </c>
      <c r="U44" s="155">
        <f t="shared" si="35"/>
        <v>0</v>
      </c>
      <c r="V44" s="148">
        <f t="shared" si="31"/>
        <v>0</v>
      </c>
      <c r="W44" s="148">
        <f t="shared" si="31"/>
        <v>300000</v>
      </c>
      <c r="X44" s="156">
        <f t="shared" si="31"/>
        <v>0</v>
      </c>
    </row>
    <row r="45" spans="2:24" x14ac:dyDescent="0.35">
      <c r="B45" s="170" t="s">
        <v>165</v>
      </c>
      <c r="C45" s="284"/>
      <c r="D45" s="65" t="s">
        <v>58</v>
      </c>
      <c r="E45" s="65" t="s">
        <v>265</v>
      </c>
      <c r="F45" s="66">
        <v>10</v>
      </c>
      <c r="G45" s="65" t="s">
        <v>28</v>
      </c>
      <c r="H45" s="51"/>
      <c r="I45" s="51">
        <v>2</v>
      </c>
      <c r="J45" s="51"/>
      <c r="K45" s="51"/>
      <c r="L45" s="51"/>
      <c r="M45" s="56">
        <f t="shared" si="32"/>
        <v>2</v>
      </c>
      <c r="N45" s="63">
        <v>150000</v>
      </c>
      <c r="O45" s="48">
        <f t="shared" si="33"/>
        <v>0</v>
      </c>
      <c r="P45" s="48">
        <f t="shared" si="33"/>
        <v>300000</v>
      </c>
      <c r="Q45" s="48">
        <f t="shared" si="33"/>
        <v>0</v>
      </c>
      <c r="R45" s="48">
        <f t="shared" si="33"/>
        <v>0</v>
      </c>
      <c r="S45" s="48">
        <f t="shared" si="33"/>
        <v>0</v>
      </c>
      <c r="T45" s="59">
        <f t="shared" si="34"/>
        <v>300000</v>
      </c>
      <c r="U45" s="155">
        <f t="shared" si="35"/>
        <v>0</v>
      </c>
      <c r="V45" s="148">
        <f t="shared" si="31"/>
        <v>0</v>
      </c>
      <c r="W45" s="148">
        <f t="shared" si="31"/>
        <v>300000</v>
      </c>
      <c r="X45" s="156">
        <f t="shared" si="31"/>
        <v>0</v>
      </c>
    </row>
    <row r="46" spans="2:24" x14ac:dyDescent="0.35">
      <c r="B46" s="170" t="s">
        <v>165</v>
      </c>
      <c r="C46" s="284"/>
      <c r="D46" s="65" t="s">
        <v>30</v>
      </c>
      <c r="E46" s="65" t="s">
        <v>265</v>
      </c>
      <c r="F46" s="66"/>
      <c r="G46" s="65" t="s">
        <v>28</v>
      </c>
      <c r="H46" s="51"/>
      <c r="I46" s="51"/>
      <c r="J46" s="51"/>
      <c r="K46" s="51"/>
      <c r="L46" s="51"/>
      <c r="M46" s="56">
        <f t="shared" si="32"/>
        <v>0</v>
      </c>
      <c r="N46" s="63">
        <v>360000</v>
      </c>
      <c r="O46" s="48">
        <f t="shared" si="33"/>
        <v>0</v>
      </c>
      <c r="P46" s="48">
        <f t="shared" si="33"/>
        <v>0</v>
      </c>
      <c r="Q46" s="48">
        <f t="shared" si="33"/>
        <v>0</v>
      </c>
      <c r="R46" s="48">
        <f t="shared" si="33"/>
        <v>0</v>
      </c>
      <c r="S46" s="48">
        <f t="shared" si="33"/>
        <v>0</v>
      </c>
      <c r="T46" s="59">
        <f t="shared" si="34"/>
        <v>0</v>
      </c>
      <c r="U46" s="155">
        <f t="shared" si="35"/>
        <v>0</v>
      </c>
      <c r="V46" s="148">
        <f t="shared" si="31"/>
        <v>0</v>
      </c>
      <c r="W46" s="148">
        <f t="shared" si="31"/>
        <v>0</v>
      </c>
      <c r="X46" s="156">
        <f t="shared" si="31"/>
        <v>0</v>
      </c>
    </row>
    <row r="47" spans="2:24" x14ac:dyDescent="0.35">
      <c r="B47" s="170" t="s">
        <v>165</v>
      </c>
      <c r="C47" s="284"/>
      <c r="D47" s="65" t="s">
        <v>3</v>
      </c>
      <c r="E47" s="65" t="s">
        <v>265</v>
      </c>
      <c r="F47" s="66">
        <v>10</v>
      </c>
      <c r="G47" s="65" t="s">
        <v>28</v>
      </c>
      <c r="H47" s="51"/>
      <c r="I47" s="51">
        <v>1</v>
      </c>
      <c r="J47" s="51"/>
      <c r="K47" s="51"/>
      <c r="L47" s="51"/>
      <c r="M47" s="56">
        <f t="shared" si="32"/>
        <v>1</v>
      </c>
      <c r="N47" s="63">
        <v>600000</v>
      </c>
      <c r="O47" s="48">
        <f t="shared" si="33"/>
        <v>0</v>
      </c>
      <c r="P47" s="48">
        <f t="shared" si="33"/>
        <v>600000</v>
      </c>
      <c r="Q47" s="48">
        <f t="shared" si="33"/>
        <v>0</v>
      </c>
      <c r="R47" s="48">
        <f t="shared" si="33"/>
        <v>0</v>
      </c>
      <c r="S47" s="48">
        <f t="shared" si="33"/>
        <v>0</v>
      </c>
      <c r="T47" s="59">
        <f t="shared" si="34"/>
        <v>600000</v>
      </c>
      <c r="U47" s="155">
        <f t="shared" si="35"/>
        <v>0</v>
      </c>
      <c r="V47" s="148">
        <f t="shared" si="31"/>
        <v>0</v>
      </c>
      <c r="W47" s="148">
        <f t="shared" si="31"/>
        <v>600000</v>
      </c>
      <c r="X47" s="156">
        <f t="shared" si="31"/>
        <v>0</v>
      </c>
    </row>
    <row r="48" spans="2:24" x14ac:dyDescent="0.35">
      <c r="B48" s="170" t="s">
        <v>165</v>
      </c>
      <c r="C48" s="284"/>
      <c r="D48" s="65" t="s">
        <v>31</v>
      </c>
      <c r="E48" s="65" t="s">
        <v>265</v>
      </c>
      <c r="F48" s="66">
        <v>10</v>
      </c>
      <c r="G48" s="65" t="s">
        <v>28</v>
      </c>
      <c r="H48" s="51"/>
      <c r="I48" s="51">
        <v>0.75</v>
      </c>
      <c r="J48" s="51">
        <v>0.25</v>
      </c>
      <c r="K48" s="51"/>
      <c r="L48" s="51"/>
      <c r="M48" s="56">
        <f t="shared" si="32"/>
        <v>1</v>
      </c>
      <c r="N48" s="63">
        <v>600000</v>
      </c>
      <c r="O48" s="48">
        <f t="shared" si="33"/>
        <v>0</v>
      </c>
      <c r="P48" s="48">
        <f t="shared" si="33"/>
        <v>450000</v>
      </c>
      <c r="Q48" s="48">
        <f t="shared" si="33"/>
        <v>150000</v>
      </c>
      <c r="R48" s="48">
        <f t="shared" si="33"/>
        <v>0</v>
      </c>
      <c r="S48" s="48">
        <f t="shared" si="33"/>
        <v>0</v>
      </c>
      <c r="T48" s="59">
        <f t="shared" si="34"/>
        <v>600000</v>
      </c>
      <c r="U48" s="155">
        <f t="shared" si="35"/>
        <v>0</v>
      </c>
      <c r="V48" s="148">
        <f t="shared" si="31"/>
        <v>0</v>
      </c>
      <c r="W48" s="148">
        <f t="shared" si="31"/>
        <v>600000</v>
      </c>
      <c r="X48" s="156">
        <f t="shared" si="31"/>
        <v>0</v>
      </c>
    </row>
    <row r="49" spans="2:24" x14ac:dyDescent="0.35">
      <c r="B49" s="170" t="s">
        <v>165</v>
      </c>
      <c r="C49" s="284"/>
      <c r="D49" s="65" t="s">
        <v>15</v>
      </c>
      <c r="E49" s="65" t="s">
        <v>265</v>
      </c>
      <c r="F49" s="66"/>
      <c r="G49" s="65" t="s">
        <v>27</v>
      </c>
      <c r="H49" s="51"/>
      <c r="I49" s="51"/>
      <c r="J49" s="51"/>
      <c r="K49" s="51"/>
      <c r="L49" s="51"/>
      <c r="M49" s="56">
        <f t="shared" si="32"/>
        <v>0</v>
      </c>
      <c r="N49" s="63">
        <v>72000</v>
      </c>
      <c r="O49" s="48">
        <f t="shared" si="33"/>
        <v>0</v>
      </c>
      <c r="P49" s="48">
        <f t="shared" si="33"/>
        <v>0</v>
      </c>
      <c r="Q49" s="48">
        <f t="shared" si="33"/>
        <v>0</v>
      </c>
      <c r="R49" s="48">
        <f t="shared" si="33"/>
        <v>0</v>
      </c>
      <c r="S49" s="48">
        <f t="shared" si="33"/>
        <v>0</v>
      </c>
      <c r="T49" s="59">
        <f t="shared" si="34"/>
        <v>0</v>
      </c>
      <c r="U49" s="155">
        <f t="shared" si="35"/>
        <v>0</v>
      </c>
      <c r="V49" s="148">
        <f t="shared" si="31"/>
        <v>0</v>
      </c>
      <c r="W49" s="148">
        <f t="shared" si="31"/>
        <v>0</v>
      </c>
      <c r="X49" s="156">
        <f t="shared" si="31"/>
        <v>0</v>
      </c>
    </row>
    <row r="50" spans="2:24" x14ac:dyDescent="0.35">
      <c r="B50" s="170" t="s">
        <v>165</v>
      </c>
      <c r="C50" s="284"/>
      <c r="D50" s="65" t="s">
        <v>21</v>
      </c>
      <c r="E50" s="65" t="s">
        <v>265</v>
      </c>
      <c r="F50" s="66"/>
      <c r="G50" s="65" t="s">
        <v>28</v>
      </c>
      <c r="H50" s="51"/>
      <c r="I50" s="51"/>
      <c r="J50" s="51"/>
      <c r="K50" s="51"/>
      <c r="L50" s="51"/>
      <c r="M50" s="56">
        <f t="shared" si="32"/>
        <v>0</v>
      </c>
      <c r="N50" s="63">
        <v>420000</v>
      </c>
      <c r="O50" s="48">
        <f t="shared" si="33"/>
        <v>0</v>
      </c>
      <c r="P50" s="48">
        <f t="shared" si="33"/>
        <v>0</v>
      </c>
      <c r="Q50" s="48">
        <f t="shared" si="33"/>
        <v>0</v>
      </c>
      <c r="R50" s="48">
        <f t="shared" si="33"/>
        <v>0</v>
      </c>
      <c r="S50" s="48">
        <f t="shared" si="33"/>
        <v>0</v>
      </c>
      <c r="T50" s="59">
        <f t="shared" si="34"/>
        <v>0</v>
      </c>
      <c r="U50" s="155">
        <f t="shared" si="35"/>
        <v>0</v>
      </c>
      <c r="V50" s="148">
        <f t="shared" si="31"/>
        <v>0</v>
      </c>
      <c r="W50" s="148">
        <f t="shared" si="31"/>
        <v>0</v>
      </c>
      <c r="X50" s="156">
        <f t="shared" si="31"/>
        <v>0</v>
      </c>
    </row>
    <row r="51" spans="2:24" ht="29" x14ac:dyDescent="0.35">
      <c r="B51" s="1" t="s">
        <v>170</v>
      </c>
      <c r="C51" s="284"/>
      <c r="D51" s="65" t="s">
        <v>34</v>
      </c>
      <c r="E51" s="65" t="s">
        <v>265</v>
      </c>
      <c r="F51" s="66">
        <v>10</v>
      </c>
      <c r="G51" s="65" t="s">
        <v>28</v>
      </c>
      <c r="H51" s="51"/>
      <c r="I51" s="51">
        <v>1</v>
      </c>
      <c r="J51" s="51"/>
      <c r="K51" s="51"/>
      <c r="L51" s="51"/>
      <c r="M51" s="56">
        <f t="shared" si="32"/>
        <v>1</v>
      </c>
      <c r="N51" s="63">
        <v>300000</v>
      </c>
      <c r="O51" s="48">
        <f t="shared" si="33"/>
        <v>0</v>
      </c>
      <c r="P51" s="48">
        <f t="shared" si="33"/>
        <v>300000</v>
      </c>
      <c r="Q51" s="48">
        <f t="shared" si="33"/>
        <v>0</v>
      </c>
      <c r="R51" s="48">
        <f t="shared" si="33"/>
        <v>0</v>
      </c>
      <c r="S51" s="48">
        <f t="shared" si="33"/>
        <v>0</v>
      </c>
      <c r="T51" s="59">
        <f t="shared" si="34"/>
        <v>300000</v>
      </c>
      <c r="U51" s="155">
        <f t="shared" si="35"/>
        <v>0</v>
      </c>
      <c r="V51" s="148">
        <f t="shared" si="31"/>
        <v>0</v>
      </c>
      <c r="W51" s="148">
        <f t="shared" si="31"/>
        <v>300000</v>
      </c>
      <c r="X51" s="156">
        <f t="shared" si="31"/>
        <v>0</v>
      </c>
    </row>
    <row r="52" spans="2:24" ht="29.5" thickBot="1" x14ac:dyDescent="0.4">
      <c r="B52" s="170" t="s">
        <v>169</v>
      </c>
      <c r="C52" s="285"/>
      <c r="D52" s="67" t="s">
        <v>107</v>
      </c>
      <c r="E52" s="65" t="s">
        <v>265</v>
      </c>
      <c r="F52" s="68">
        <v>10</v>
      </c>
      <c r="G52" s="67" t="s">
        <v>28</v>
      </c>
      <c r="H52" s="52"/>
      <c r="I52" s="52">
        <v>1</v>
      </c>
      <c r="J52" s="52">
        <v>1</v>
      </c>
      <c r="K52" s="52"/>
      <c r="L52" s="52"/>
      <c r="M52" s="57">
        <f t="shared" si="32"/>
        <v>2</v>
      </c>
      <c r="N52" s="64">
        <v>150000</v>
      </c>
      <c r="O52" s="49">
        <f t="shared" si="33"/>
        <v>0</v>
      </c>
      <c r="P52" s="49">
        <f t="shared" si="33"/>
        <v>150000</v>
      </c>
      <c r="Q52" s="49">
        <f t="shared" si="33"/>
        <v>150000</v>
      </c>
      <c r="R52" s="49">
        <f t="shared" si="33"/>
        <v>0</v>
      </c>
      <c r="S52" s="49">
        <f t="shared" si="33"/>
        <v>0</v>
      </c>
      <c r="T52" s="60">
        <f t="shared" si="34"/>
        <v>300000</v>
      </c>
      <c r="U52" s="157">
        <f t="shared" si="35"/>
        <v>0</v>
      </c>
      <c r="V52" s="158">
        <f t="shared" si="31"/>
        <v>0</v>
      </c>
      <c r="W52" s="158">
        <f t="shared" si="31"/>
        <v>300000</v>
      </c>
      <c r="X52" s="159">
        <f t="shared" si="31"/>
        <v>0</v>
      </c>
    </row>
    <row r="53" spans="2:24" ht="15" thickBot="1" x14ac:dyDescent="0.4">
      <c r="C53" s="9"/>
      <c r="D53" s="9"/>
      <c r="E53" s="9"/>
      <c r="F53" s="9"/>
      <c r="G53" s="9"/>
      <c r="H53" s="9"/>
      <c r="I53" s="9"/>
      <c r="J53" s="9"/>
      <c r="K53" s="9"/>
      <c r="L53" s="9"/>
      <c r="M53" s="9"/>
      <c r="N53" s="37"/>
      <c r="O53" s="37"/>
      <c r="P53" s="37"/>
      <c r="Q53" s="37"/>
      <c r="R53" s="37"/>
      <c r="S53" s="37"/>
      <c r="T53" s="37"/>
      <c r="U53" s="37"/>
      <c r="V53" s="37"/>
      <c r="W53" s="37"/>
      <c r="X53" s="37"/>
    </row>
    <row r="54" spans="2:24" s="45" customFormat="1" ht="15" thickBot="1" x14ac:dyDescent="0.4">
      <c r="C54" s="47"/>
      <c r="D54" s="46"/>
      <c r="E54" s="46"/>
      <c r="F54" s="46"/>
      <c r="G54" s="46"/>
      <c r="H54" s="46"/>
      <c r="I54" s="46"/>
      <c r="J54" s="46"/>
      <c r="K54" s="46"/>
      <c r="L54" s="87"/>
      <c r="M54" s="88"/>
      <c r="N54" s="89" t="s">
        <v>95</v>
      </c>
      <c r="O54" s="83">
        <f>SUM(O41:O52)</f>
        <v>800000</v>
      </c>
      <c r="P54" s="84">
        <f t="shared" ref="P54:S54" si="36">SUM(P41:P52)</f>
        <v>2100000</v>
      </c>
      <c r="Q54" s="84">
        <f t="shared" si="36"/>
        <v>300000</v>
      </c>
      <c r="R54" s="84">
        <f t="shared" si="36"/>
        <v>0</v>
      </c>
      <c r="S54" s="85">
        <f t="shared" si="36"/>
        <v>0</v>
      </c>
      <c r="T54" s="61">
        <f>SUM(O54:S54)</f>
        <v>3200000</v>
      </c>
      <c r="U54" s="147">
        <f>SUM(U41:U52)</f>
        <v>0</v>
      </c>
      <c r="V54" s="149">
        <f t="shared" ref="V54:X54" si="37">SUM(V41:V52)</f>
        <v>0</v>
      </c>
      <c r="W54" s="149">
        <f t="shared" si="37"/>
        <v>3200000</v>
      </c>
      <c r="X54" s="150">
        <f t="shared" si="37"/>
        <v>0</v>
      </c>
    </row>
    <row r="55" spans="2:24" x14ac:dyDescent="0.35">
      <c r="C55" s="9"/>
      <c r="D55" s="9"/>
      <c r="E55" s="9"/>
      <c r="F55" s="9"/>
      <c r="G55" s="9"/>
      <c r="H55" s="9"/>
      <c r="I55" s="9"/>
      <c r="J55" s="9"/>
      <c r="K55" s="9"/>
      <c r="L55" s="9"/>
      <c r="M55" s="9"/>
      <c r="N55" s="9"/>
      <c r="O55" s="3"/>
      <c r="P55" s="3"/>
      <c r="Q55" s="3"/>
      <c r="R55" s="3"/>
      <c r="S55" s="3"/>
      <c r="T55" s="12"/>
      <c r="U55" s="12"/>
      <c r="V55" s="12"/>
      <c r="W55" s="12"/>
      <c r="X55" s="12"/>
    </row>
    <row r="56" spans="2:24" ht="15" thickBot="1" x14ac:dyDescent="0.4">
      <c r="C56" s="16"/>
      <c r="D56" s="9"/>
      <c r="E56" s="9"/>
      <c r="F56" s="9"/>
      <c r="G56" s="9"/>
      <c r="H56" s="9"/>
      <c r="I56" s="9"/>
      <c r="J56" s="5"/>
      <c r="K56" s="5"/>
      <c r="L56" s="5"/>
      <c r="M56" s="5"/>
      <c r="N56" s="4"/>
      <c r="O56" s="41"/>
      <c r="P56" s="41"/>
      <c r="Q56" s="41"/>
      <c r="R56" s="41"/>
      <c r="S56" s="41"/>
      <c r="T56" s="42"/>
      <c r="U56" s="42"/>
      <c r="V56" s="42"/>
      <c r="W56" s="42"/>
      <c r="X56" s="42"/>
    </row>
    <row r="57" spans="2:24" s="71" customFormat="1" ht="43.5" x14ac:dyDescent="0.35">
      <c r="C57" s="75" t="s">
        <v>92</v>
      </c>
      <c r="D57" s="74" t="s">
        <v>7</v>
      </c>
      <c r="E57" s="74" t="str">
        <f>E19</f>
        <v>Fin.
AFD, EU, GCF, GVNT</v>
      </c>
      <c r="F57" s="74" t="str">
        <f>F19</f>
        <v>Durée de vie (an)</v>
      </c>
      <c r="G57" s="74" t="s">
        <v>26</v>
      </c>
      <c r="H57" s="72">
        <v>2021</v>
      </c>
      <c r="I57" s="72">
        <v>2022</v>
      </c>
      <c r="J57" s="72">
        <v>2023</v>
      </c>
      <c r="K57" s="72">
        <v>2024</v>
      </c>
      <c r="L57" s="72">
        <v>2025</v>
      </c>
      <c r="M57" s="69" t="s">
        <v>36</v>
      </c>
      <c r="N57" s="62" t="s">
        <v>37</v>
      </c>
      <c r="O57" s="73" t="s">
        <v>9</v>
      </c>
      <c r="P57" s="73" t="s">
        <v>10</v>
      </c>
      <c r="Q57" s="73" t="s">
        <v>11</v>
      </c>
      <c r="R57" s="73" t="s">
        <v>12</v>
      </c>
      <c r="S57" s="73" t="s">
        <v>39</v>
      </c>
      <c r="T57" s="70" t="s">
        <v>22</v>
      </c>
      <c r="U57" s="160"/>
      <c r="V57" s="161"/>
      <c r="W57" s="161"/>
      <c r="X57" s="162"/>
    </row>
    <row r="58" spans="2:24" x14ac:dyDescent="0.35">
      <c r="B58" s="170" t="s">
        <v>166</v>
      </c>
      <c r="C58" s="288"/>
      <c r="D58" s="65" t="s">
        <v>45</v>
      </c>
      <c r="E58" s="65" t="s">
        <v>264</v>
      </c>
      <c r="F58" s="66"/>
      <c r="G58" s="65" t="s">
        <v>32</v>
      </c>
      <c r="H58" s="51">
        <v>1</v>
      </c>
      <c r="I58" s="51">
        <v>1</v>
      </c>
      <c r="J58" s="51"/>
      <c r="K58" s="51"/>
      <c r="L58" s="51"/>
      <c r="M58" s="56">
        <f t="shared" ref="M58:M63" si="38">SUM(H58:L58)</f>
        <v>2</v>
      </c>
      <c r="N58" s="63">
        <v>300000</v>
      </c>
      <c r="O58" s="48">
        <f>H58*$N58</f>
        <v>300000</v>
      </c>
      <c r="P58" s="48">
        <f>I58*$N58</f>
        <v>300000</v>
      </c>
      <c r="Q58" s="48">
        <f>J58*$N58</f>
        <v>0</v>
      </c>
      <c r="R58" s="48">
        <f>K58*$N58</f>
        <v>0</v>
      </c>
      <c r="S58" s="48">
        <f>L58*$N58</f>
        <v>0</v>
      </c>
      <c r="T58" s="59">
        <f>SUM(O58:S58)</f>
        <v>600000</v>
      </c>
      <c r="U58" s="155">
        <f>IF($E58=U$18,$T58,0)</f>
        <v>0</v>
      </c>
      <c r="V58" s="148">
        <f t="shared" ref="V58:X64" si="39">IF($E58=V$18,$T58,0)</f>
        <v>600000</v>
      </c>
      <c r="W58" s="148">
        <f t="shared" si="39"/>
        <v>0</v>
      </c>
      <c r="X58" s="156">
        <f t="shared" si="39"/>
        <v>0</v>
      </c>
    </row>
    <row r="59" spans="2:24" x14ac:dyDescent="0.35">
      <c r="B59" s="170" t="s">
        <v>166</v>
      </c>
      <c r="C59" s="284"/>
      <c r="D59" s="76" t="s">
        <v>42</v>
      </c>
      <c r="E59" s="65" t="s">
        <v>264</v>
      </c>
      <c r="F59" s="77"/>
      <c r="G59" s="76" t="s">
        <v>27</v>
      </c>
      <c r="H59" s="78"/>
      <c r="I59" s="78"/>
      <c r="J59" s="78"/>
      <c r="K59" s="78"/>
      <c r="L59" s="78"/>
      <c r="M59" s="79">
        <f t="shared" si="38"/>
        <v>0</v>
      </c>
      <c r="N59" s="80">
        <v>15000</v>
      </c>
      <c r="O59" s="81">
        <f t="shared" ref="O59:S64" si="40">H59*$N59</f>
        <v>0</v>
      </c>
      <c r="P59" s="81">
        <f t="shared" si="40"/>
        <v>0</v>
      </c>
      <c r="Q59" s="81">
        <f t="shared" si="40"/>
        <v>0</v>
      </c>
      <c r="R59" s="81">
        <f t="shared" si="40"/>
        <v>0</v>
      </c>
      <c r="S59" s="81">
        <f t="shared" si="40"/>
        <v>0</v>
      </c>
      <c r="T59" s="82">
        <f t="shared" ref="T59:T64" si="41">SUM(O59:S59)</f>
        <v>0</v>
      </c>
      <c r="U59" s="155">
        <f t="shared" ref="U59:U64" si="42">IF($E59=U$18,$T59,0)</f>
        <v>0</v>
      </c>
      <c r="V59" s="148">
        <f t="shared" si="39"/>
        <v>0</v>
      </c>
      <c r="W59" s="148">
        <f t="shared" si="39"/>
        <v>0</v>
      </c>
      <c r="X59" s="156">
        <f t="shared" si="39"/>
        <v>0</v>
      </c>
    </row>
    <row r="60" spans="2:24" x14ac:dyDescent="0.35">
      <c r="B60" s="170" t="s">
        <v>166</v>
      </c>
      <c r="C60" s="284"/>
      <c r="D60" s="76" t="s">
        <v>43</v>
      </c>
      <c r="E60" s="65" t="s">
        <v>264</v>
      </c>
      <c r="F60" s="77"/>
      <c r="G60" s="76" t="s">
        <v>27</v>
      </c>
      <c r="H60" s="78"/>
      <c r="I60" s="78"/>
      <c r="J60" s="78"/>
      <c r="K60" s="78"/>
      <c r="L60" s="78"/>
      <c r="M60" s="79">
        <f t="shared" si="38"/>
        <v>0</v>
      </c>
      <c r="N60" s="80">
        <v>5000</v>
      </c>
      <c r="O60" s="81">
        <f t="shared" si="40"/>
        <v>0</v>
      </c>
      <c r="P60" s="81">
        <f t="shared" si="40"/>
        <v>0</v>
      </c>
      <c r="Q60" s="81">
        <f t="shared" si="40"/>
        <v>0</v>
      </c>
      <c r="R60" s="81">
        <f t="shared" si="40"/>
        <v>0</v>
      </c>
      <c r="S60" s="81">
        <f t="shared" si="40"/>
        <v>0</v>
      </c>
      <c r="T60" s="82">
        <f t="shared" si="41"/>
        <v>0</v>
      </c>
      <c r="U60" s="155">
        <f t="shared" si="42"/>
        <v>0</v>
      </c>
      <c r="V60" s="148">
        <f t="shared" si="39"/>
        <v>0</v>
      </c>
      <c r="W60" s="148">
        <f t="shared" si="39"/>
        <v>0</v>
      </c>
      <c r="X60" s="156">
        <f t="shared" si="39"/>
        <v>0</v>
      </c>
    </row>
    <row r="61" spans="2:24" x14ac:dyDescent="0.35">
      <c r="B61" s="170" t="s">
        <v>166</v>
      </c>
      <c r="C61" s="284"/>
      <c r="D61" s="76" t="s">
        <v>44</v>
      </c>
      <c r="E61" s="65" t="s">
        <v>264</v>
      </c>
      <c r="F61" s="77"/>
      <c r="G61" s="76" t="s">
        <v>27</v>
      </c>
      <c r="H61" s="78">
        <v>1</v>
      </c>
      <c r="I61" s="78">
        <v>1</v>
      </c>
      <c r="J61" s="78"/>
      <c r="K61" s="78"/>
      <c r="L61" s="78"/>
      <c r="M61" s="79">
        <f t="shared" si="38"/>
        <v>2</v>
      </c>
      <c r="N61" s="80">
        <v>20000</v>
      </c>
      <c r="O61" s="81">
        <f t="shared" si="40"/>
        <v>20000</v>
      </c>
      <c r="P61" s="81">
        <f t="shared" si="40"/>
        <v>20000</v>
      </c>
      <c r="Q61" s="81">
        <f t="shared" si="40"/>
        <v>0</v>
      </c>
      <c r="R61" s="81">
        <f t="shared" si="40"/>
        <v>0</v>
      </c>
      <c r="S61" s="81">
        <f t="shared" si="40"/>
        <v>0</v>
      </c>
      <c r="T61" s="82">
        <f t="shared" si="41"/>
        <v>40000</v>
      </c>
      <c r="U61" s="155">
        <f t="shared" si="42"/>
        <v>0</v>
      </c>
      <c r="V61" s="148">
        <f t="shared" si="39"/>
        <v>40000</v>
      </c>
      <c r="W61" s="148">
        <f t="shared" si="39"/>
        <v>0</v>
      </c>
      <c r="X61" s="156">
        <f t="shared" si="39"/>
        <v>0</v>
      </c>
    </row>
    <row r="62" spans="2:24" ht="43.5" x14ac:dyDescent="0.35">
      <c r="B62" s="170" t="s">
        <v>158</v>
      </c>
      <c r="C62" s="284"/>
      <c r="D62" s="76" t="s">
        <v>71</v>
      </c>
      <c r="E62" s="65" t="s">
        <v>264</v>
      </c>
      <c r="F62" s="77"/>
      <c r="G62" s="76" t="s">
        <v>32</v>
      </c>
      <c r="H62" s="78"/>
      <c r="I62" s="78">
        <v>1</v>
      </c>
      <c r="J62" s="78"/>
      <c r="K62" s="78"/>
      <c r="L62" s="78"/>
      <c r="M62" s="79">
        <f t="shared" si="38"/>
        <v>1</v>
      </c>
      <c r="N62" s="80">
        <v>300000</v>
      </c>
      <c r="O62" s="81">
        <f t="shared" si="40"/>
        <v>0</v>
      </c>
      <c r="P62" s="81">
        <f t="shared" si="40"/>
        <v>300000</v>
      </c>
      <c r="Q62" s="81">
        <f t="shared" si="40"/>
        <v>0</v>
      </c>
      <c r="R62" s="81">
        <f t="shared" si="40"/>
        <v>0</v>
      </c>
      <c r="S62" s="81">
        <f t="shared" si="40"/>
        <v>0</v>
      </c>
      <c r="T62" s="82">
        <f t="shared" si="41"/>
        <v>300000</v>
      </c>
      <c r="U62" s="155">
        <f t="shared" si="42"/>
        <v>0</v>
      </c>
      <c r="V62" s="148">
        <f t="shared" si="39"/>
        <v>300000</v>
      </c>
      <c r="W62" s="148">
        <f t="shared" si="39"/>
        <v>0</v>
      </c>
      <c r="X62" s="156">
        <f t="shared" si="39"/>
        <v>0</v>
      </c>
    </row>
    <row r="63" spans="2:24" ht="43.5" x14ac:dyDescent="0.35">
      <c r="B63" s="170" t="s">
        <v>167</v>
      </c>
      <c r="C63" s="284"/>
      <c r="D63" s="76" t="s">
        <v>46</v>
      </c>
      <c r="E63" s="65" t="s">
        <v>264</v>
      </c>
      <c r="F63" s="77"/>
      <c r="G63" s="76" t="s">
        <v>32</v>
      </c>
      <c r="H63" s="78"/>
      <c r="I63" s="78"/>
      <c r="J63" s="78">
        <v>1</v>
      </c>
      <c r="K63" s="78"/>
      <c r="L63" s="78"/>
      <c r="M63" s="79">
        <f t="shared" si="38"/>
        <v>1</v>
      </c>
      <c r="N63" s="80">
        <v>300000</v>
      </c>
      <c r="O63" s="81">
        <f t="shared" si="40"/>
        <v>0</v>
      </c>
      <c r="P63" s="81">
        <f t="shared" si="40"/>
        <v>0</v>
      </c>
      <c r="Q63" s="81">
        <f t="shared" si="40"/>
        <v>300000</v>
      </c>
      <c r="R63" s="81">
        <f t="shared" si="40"/>
        <v>0</v>
      </c>
      <c r="S63" s="81">
        <f t="shared" si="40"/>
        <v>0</v>
      </c>
      <c r="T63" s="82">
        <f t="shared" si="41"/>
        <v>300000</v>
      </c>
      <c r="U63" s="155">
        <f t="shared" si="42"/>
        <v>0</v>
      </c>
      <c r="V63" s="148">
        <f t="shared" si="39"/>
        <v>300000</v>
      </c>
      <c r="W63" s="148">
        <f t="shared" si="39"/>
        <v>0</v>
      </c>
      <c r="X63" s="156">
        <f t="shared" si="39"/>
        <v>0</v>
      </c>
    </row>
    <row r="64" spans="2:24" ht="58.5" thickBot="1" x14ac:dyDescent="0.4">
      <c r="B64" s="170" t="s">
        <v>174</v>
      </c>
      <c r="C64" s="285"/>
      <c r="D64" s="67" t="s">
        <v>47</v>
      </c>
      <c r="E64" s="65" t="s">
        <v>264</v>
      </c>
      <c r="F64" s="68"/>
      <c r="G64" s="67" t="s">
        <v>32</v>
      </c>
      <c r="H64" s="52"/>
      <c r="I64" s="52"/>
      <c r="J64" s="52"/>
      <c r="K64" s="52">
        <v>1</v>
      </c>
      <c r="L64" s="52"/>
      <c r="M64" s="57">
        <f>SUM(H64:L64)</f>
        <v>1</v>
      </c>
      <c r="N64" s="64">
        <v>300000</v>
      </c>
      <c r="O64" s="49">
        <f t="shared" si="40"/>
        <v>0</v>
      </c>
      <c r="P64" s="49">
        <f t="shared" si="40"/>
        <v>0</v>
      </c>
      <c r="Q64" s="49">
        <f t="shared" si="40"/>
        <v>0</v>
      </c>
      <c r="R64" s="49">
        <f t="shared" si="40"/>
        <v>300000</v>
      </c>
      <c r="S64" s="49">
        <f t="shared" si="40"/>
        <v>0</v>
      </c>
      <c r="T64" s="60">
        <f t="shared" si="41"/>
        <v>300000</v>
      </c>
      <c r="U64" s="157">
        <f t="shared" si="42"/>
        <v>0</v>
      </c>
      <c r="V64" s="158">
        <f t="shared" si="39"/>
        <v>300000</v>
      </c>
      <c r="W64" s="158">
        <f t="shared" si="39"/>
        <v>0</v>
      </c>
      <c r="X64" s="159">
        <f t="shared" si="39"/>
        <v>0</v>
      </c>
    </row>
    <row r="65" spans="2:24" ht="15" thickBot="1" x14ac:dyDescent="0.4">
      <c r="C65" s="16"/>
      <c r="D65" s="9"/>
      <c r="E65" s="9"/>
      <c r="F65" s="9"/>
      <c r="G65" s="9"/>
      <c r="H65" s="9"/>
      <c r="I65" s="9"/>
      <c r="J65" s="5"/>
      <c r="K65" s="5"/>
      <c r="L65" s="5"/>
      <c r="M65" s="5"/>
      <c r="N65" s="4"/>
      <c r="O65" s="39"/>
      <c r="P65" s="39"/>
      <c r="Q65" s="40"/>
      <c r="R65" s="40"/>
      <c r="S65" s="40"/>
      <c r="T65" s="41"/>
      <c r="U65" s="41"/>
      <c r="V65" s="41"/>
      <c r="W65" s="41"/>
      <c r="X65" s="41"/>
    </row>
    <row r="66" spans="2:24" s="45" customFormat="1" ht="15" thickBot="1" x14ac:dyDescent="0.4">
      <c r="C66" s="47"/>
      <c r="D66" s="46"/>
      <c r="E66" s="46"/>
      <c r="F66" s="46"/>
      <c r="G66" s="46"/>
      <c r="H66" s="46"/>
      <c r="I66" s="46"/>
      <c r="J66" s="46"/>
      <c r="K66" s="46"/>
      <c r="L66" s="87"/>
      <c r="M66" s="88"/>
      <c r="N66" s="89" t="s">
        <v>97</v>
      </c>
      <c r="O66" s="83">
        <f>SUM(O58:O64)</f>
        <v>320000</v>
      </c>
      <c r="P66" s="84">
        <f>SUM(P58:P64)</f>
        <v>620000</v>
      </c>
      <c r="Q66" s="84">
        <f>SUM(Q58:Q64)</f>
        <v>300000</v>
      </c>
      <c r="R66" s="84">
        <f>SUM(R58:R64)</f>
        <v>300000</v>
      </c>
      <c r="S66" s="85">
        <f>SUM(S58:S64)</f>
        <v>0</v>
      </c>
      <c r="T66" s="61">
        <f>SUM(O66:S66)</f>
        <v>1540000</v>
      </c>
      <c r="U66" s="147">
        <f>SUM(U58:U64)</f>
        <v>0</v>
      </c>
      <c r="V66" s="149">
        <f t="shared" ref="V66:X66" si="43">SUM(V58:V64)</f>
        <v>1540000</v>
      </c>
      <c r="W66" s="149">
        <f t="shared" si="43"/>
        <v>0</v>
      </c>
      <c r="X66" s="150">
        <f t="shared" si="43"/>
        <v>0</v>
      </c>
    </row>
    <row r="67" spans="2:24" s="2" customFormat="1" x14ac:dyDescent="0.35">
      <c r="C67" s="16"/>
      <c r="D67" s="9"/>
      <c r="E67" s="9"/>
      <c r="F67" s="9"/>
      <c r="G67" s="9"/>
      <c r="H67" s="9"/>
      <c r="I67" s="9"/>
      <c r="J67" s="5"/>
      <c r="K67" s="5"/>
      <c r="L67" s="5"/>
      <c r="M67" s="5"/>
      <c r="N67" s="4"/>
      <c r="O67" s="41"/>
      <c r="P67" s="41"/>
      <c r="Q67" s="41"/>
      <c r="R67" s="41"/>
      <c r="S67" s="41"/>
      <c r="T67" s="42"/>
      <c r="U67" s="42"/>
      <c r="V67" s="42"/>
      <c r="W67" s="42"/>
      <c r="X67" s="42"/>
    </row>
    <row r="68" spans="2:24" ht="15" thickBot="1" x14ac:dyDescent="0.4">
      <c r="C68" s="16"/>
      <c r="D68" s="9"/>
      <c r="E68" s="9"/>
      <c r="F68" s="9"/>
      <c r="G68" s="9"/>
      <c r="H68" s="9"/>
      <c r="I68" s="9"/>
      <c r="J68" s="5"/>
      <c r="K68" s="5"/>
      <c r="L68" s="5"/>
      <c r="M68" s="5"/>
      <c r="N68" s="4"/>
      <c r="O68" s="41"/>
      <c r="P68" s="41"/>
      <c r="Q68" s="41"/>
      <c r="R68" s="41"/>
      <c r="S68" s="41"/>
      <c r="T68" s="42"/>
      <c r="U68" s="42"/>
      <c r="V68" s="42"/>
      <c r="W68" s="42"/>
      <c r="X68" s="42"/>
    </row>
    <row r="69" spans="2:24" s="71" customFormat="1" ht="43.5" x14ac:dyDescent="0.35">
      <c r="C69" s="75" t="s">
        <v>92</v>
      </c>
      <c r="D69" s="74" t="s">
        <v>7</v>
      </c>
      <c r="E69" s="74" t="str">
        <f>E19</f>
        <v>Fin.
AFD, EU, GCF, GVNT</v>
      </c>
      <c r="F69" s="74" t="str">
        <f>F19</f>
        <v>Durée de vie (an)</v>
      </c>
      <c r="G69" s="74" t="s">
        <v>26</v>
      </c>
      <c r="H69" s="72">
        <v>2021</v>
      </c>
      <c r="I69" s="72">
        <v>2022</v>
      </c>
      <c r="J69" s="72">
        <v>2023</v>
      </c>
      <c r="K69" s="72">
        <v>2024</v>
      </c>
      <c r="L69" s="72">
        <v>2025</v>
      </c>
      <c r="M69" s="69" t="s">
        <v>36</v>
      </c>
      <c r="N69" s="62" t="s">
        <v>37</v>
      </c>
      <c r="O69" s="73" t="s">
        <v>9</v>
      </c>
      <c r="P69" s="73" t="s">
        <v>10</v>
      </c>
      <c r="Q69" s="73" t="s">
        <v>11</v>
      </c>
      <c r="R69" s="73" t="s">
        <v>12</v>
      </c>
      <c r="S69" s="73" t="s">
        <v>39</v>
      </c>
      <c r="T69" s="70" t="s">
        <v>22</v>
      </c>
      <c r="U69" s="160"/>
      <c r="V69" s="161"/>
      <c r="W69" s="161"/>
      <c r="X69" s="162"/>
    </row>
    <row r="70" spans="2:24" x14ac:dyDescent="0.35">
      <c r="B70" s="170" t="s">
        <v>166</v>
      </c>
      <c r="C70" s="288" t="s">
        <v>41</v>
      </c>
      <c r="D70" s="65" t="s">
        <v>123</v>
      </c>
      <c r="E70" s="65" t="s">
        <v>264</v>
      </c>
      <c r="F70" s="66"/>
      <c r="G70" s="65" t="s">
        <v>56</v>
      </c>
      <c r="H70" s="51"/>
      <c r="I70" s="51">
        <v>0.25</v>
      </c>
      <c r="J70" s="51">
        <v>0.75</v>
      </c>
      <c r="K70" s="51"/>
      <c r="L70" s="51"/>
      <c r="M70" s="116">
        <f>SUM(H70:L70)</f>
        <v>1</v>
      </c>
      <c r="N70" s="63">
        <v>500000</v>
      </c>
      <c r="O70" s="48">
        <f>H70*$N70</f>
        <v>0</v>
      </c>
      <c r="P70" s="48">
        <f>I70*$N70</f>
        <v>125000</v>
      </c>
      <c r="Q70" s="48">
        <f>J70*$N70</f>
        <v>375000</v>
      </c>
      <c r="R70" s="48">
        <f>K70*$N70</f>
        <v>0</v>
      </c>
      <c r="S70" s="48">
        <f>L70*$N70</f>
        <v>0</v>
      </c>
      <c r="T70" s="59">
        <f>SUM(O70:S70)</f>
        <v>500000</v>
      </c>
      <c r="U70" s="155">
        <f>IF($E70=U$18,$T70,0)</f>
        <v>0</v>
      </c>
      <c r="V70" s="148">
        <f t="shared" ref="V70:X74" si="44">IF($E70=V$18,$T70,0)</f>
        <v>500000</v>
      </c>
      <c r="W70" s="148">
        <f t="shared" si="44"/>
        <v>0</v>
      </c>
      <c r="X70" s="156">
        <f t="shared" si="44"/>
        <v>0</v>
      </c>
    </row>
    <row r="71" spans="2:24" ht="29" x14ac:dyDescent="0.35">
      <c r="B71" s="170" t="s">
        <v>167</v>
      </c>
      <c r="C71" s="284"/>
      <c r="D71" s="76" t="s">
        <v>57</v>
      </c>
      <c r="E71" s="65" t="s">
        <v>264</v>
      </c>
      <c r="F71" s="77"/>
      <c r="G71" s="76" t="s">
        <v>56</v>
      </c>
      <c r="H71" s="78">
        <v>0.5</v>
      </c>
      <c r="I71" s="78">
        <v>0.5</v>
      </c>
      <c r="J71" s="78"/>
      <c r="K71" s="78"/>
      <c r="L71" s="78"/>
      <c r="M71" s="116">
        <f t="shared" ref="M71:M73" si="45">SUM(H71:L71)</f>
        <v>1</v>
      </c>
      <c r="N71" s="80">
        <v>360000</v>
      </c>
      <c r="O71" s="81">
        <f t="shared" ref="O71:S74" si="46">H71*$N71</f>
        <v>180000</v>
      </c>
      <c r="P71" s="81">
        <f t="shared" si="46"/>
        <v>180000</v>
      </c>
      <c r="Q71" s="81">
        <f t="shared" si="46"/>
        <v>0</v>
      </c>
      <c r="R71" s="81">
        <f t="shared" si="46"/>
        <v>0</v>
      </c>
      <c r="S71" s="81">
        <f t="shared" si="46"/>
        <v>0</v>
      </c>
      <c r="T71" s="82">
        <f t="shared" ref="T71:T74" si="47">SUM(O71:S71)</f>
        <v>360000</v>
      </c>
      <c r="U71" s="155">
        <f t="shared" ref="U71:U74" si="48">IF($E71=U$18,$T71,0)</f>
        <v>0</v>
      </c>
      <c r="V71" s="148">
        <f t="shared" si="44"/>
        <v>360000</v>
      </c>
      <c r="W71" s="148">
        <f t="shared" si="44"/>
        <v>0</v>
      </c>
      <c r="X71" s="156">
        <f t="shared" si="44"/>
        <v>0</v>
      </c>
    </row>
    <row r="72" spans="2:24" x14ac:dyDescent="0.35">
      <c r="B72" s="170" t="s">
        <v>169</v>
      </c>
      <c r="C72" s="284"/>
      <c r="D72" s="76" t="s">
        <v>244</v>
      </c>
      <c r="E72" s="65" t="s">
        <v>265</v>
      </c>
      <c r="F72" s="77"/>
      <c r="G72" s="76" t="s">
        <v>303</v>
      </c>
      <c r="H72" s="78"/>
      <c r="I72" s="78"/>
      <c r="J72" s="51"/>
      <c r="K72" s="51"/>
      <c r="L72" s="78"/>
      <c r="M72" s="116">
        <f t="shared" si="45"/>
        <v>0</v>
      </c>
      <c r="N72" s="80">
        <v>150000</v>
      </c>
      <c r="O72" s="81">
        <f t="shared" si="46"/>
        <v>0</v>
      </c>
      <c r="P72" s="81">
        <f t="shared" si="46"/>
        <v>0</v>
      </c>
      <c r="Q72" s="81">
        <f t="shared" si="46"/>
        <v>0</v>
      </c>
      <c r="R72" s="81">
        <f t="shared" si="46"/>
        <v>0</v>
      </c>
      <c r="S72" s="81">
        <f t="shared" si="46"/>
        <v>0</v>
      </c>
      <c r="T72" s="82">
        <f t="shared" si="47"/>
        <v>0</v>
      </c>
      <c r="U72" s="155">
        <f t="shared" si="48"/>
        <v>0</v>
      </c>
      <c r="V72" s="148">
        <f t="shared" si="44"/>
        <v>0</v>
      </c>
      <c r="W72" s="148">
        <f t="shared" si="44"/>
        <v>0</v>
      </c>
      <c r="X72" s="156">
        <f t="shared" si="44"/>
        <v>0</v>
      </c>
    </row>
    <row r="73" spans="2:24" x14ac:dyDescent="0.35">
      <c r="B73" s="170" t="s">
        <v>169</v>
      </c>
      <c r="C73" s="284"/>
      <c r="D73" s="76" t="s">
        <v>246</v>
      </c>
      <c r="E73" s="65" t="s">
        <v>265</v>
      </c>
      <c r="F73" s="77"/>
      <c r="G73" s="76" t="s">
        <v>303</v>
      </c>
      <c r="H73" s="78">
        <v>1</v>
      </c>
      <c r="I73" s="78">
        <v>1</v>
      </c>
      <c r="J73" s="51">
        <v>1</v>
      </c>
      <c r="K73" s="78"/>
      <c r="L73" s="114"/>
      <c r="M73" s="116">
        <f t="shared" si="45"/>
        <v>3</v>
      </c>
      <c r="N73" s="80">
        <v>150000</v>
      </c>
      <c r="O73" s="81">
        <f t="shared" si="46"/>
        <v>150000</v>
      </c>
      <c r="P73" s="81">
        <f t="shared" si="46"/>
        <v>150000</v>
      </c>
      <c r="Q73" s="81">
        <f t="shared" si="46"/>
        <v>150000</v>
      </c>
      <c r="R73" s="81">
        <f t="shared" si="46"/>
        <v>0</v>
      </c>
      <c r="S73" s="81">
        <f t="shared" si="46"/>
        <v>0</v>
      </c>
      <c r="T73" s="82">
        <f t="shared" si="47"/>
        <v>450000</v>
      </c>
      <c r="U73" s="155">
        <f t="shared" si="48"/>
        <v>0</v>
      </c>
      <c r="V73" s="148">
        <f t="shared" si="44"/>
        <v>0</v>
      </c>
      <c r="W73" s="148">
        <f t="shared" si="44"/>
        <v>450000</v>
      </c>
      <c r="X73" s="156">
        <f t="shared" si="44"/>
        <v>0</v>
      </c>
    </row>
    <row r="74" spans="2:24" ht="15" thickBot="1" x14ac:dyDescent="0.4">
      <c r="B74" s="170" t="s">
        <v>169</v>
      </c>
      <c r="C74" s="285"/>
      <c r="D74" s="67" t="s">
        <v>247</v>
      </c>
      <c r="E74" s="65" t="s">
        <v>265</v>
      </c>
      <c r="F74" s="68"/>
      <c r="G74" s="76" t="s">
        <v>303</v>
      </c>
      <c r="H74" s="52"/>
      <c r="I74" s="52"/>
      <c r="J74" s="52"/>
      <c r="K74" s="115"/>
      <c r="L74" s="52"/>
      <c r="M74" s="117">
        <f>SUM(H74:L74)</f>
        <v>0</v>
      </c>
      <c r="N74" s="64">
        <v>150000</v>
      </c>
      <c r="O74" s="49">
        <f t="shared" si="46"/>
        <v>0</v>
      </c>
      <c r="P74" s="49">
        <f t="shared" si="46"/>
        <v>0</v>
      </c>
      <c r="Q74" s="49">
        <f t="shared" si="46"/>
        <v>0</v>
      </c>
      <c r="R74" s="49">
        <f t="shared" si="46"/>
        <v>0</v>
      </c>
      <c r="S74" s="49">
        <f t="shared" si="46"/>
        <v>0</v>
      </c>
      <c r="T74" s="60">
        <f t="shared" si="47"/>
        <v>0</v>
      </c>
      <c r="U74" s="157">
        <f t="shared" si="48"/>
        <v>0</v>
      </c>
      <c r="V74" s="158">
        <f t="shared" si="44"/>
        <v>0</v>
      </c>
      <c r="W74" s="158">
        <f t="shared" si="44"/>
        <v>0</v>
      </c>
      <c r="X74" s="159">
        <f t="shared" si="44"/>
        <v>0</v>
      </c>
    </row>
    <row r="75" spans="2:24" ht="15" thickBot="1" x14ac:dyDescent="0.4">
      <c r="C75" s="16"/>
      <c r="D75" s="9"/>
      <c r="E75" s="9"/>
      <c r="F75" s="9"/>
      <c r="G75" s="9"/>
      <c r="H75" s="9"/>
      <c r="I75" s="9"/>
      <c r="J75" s="5"/>
      <c r="K75" s="5"/>
      <c r="L75" s="5"/>
      <c r="M75" s="5"/>
      <c r="N75" s="4"/>
      <c r="O75" s="39"/>
      <c r="P75" s="39"/>
      <c r="Q75" s="40"/>
      <c r="R75" s="40"/>
      <c r="S75" s="40"/>
      <c r="T75" s="41"/>
      <c r="U75" s="41"/>
      <c r="V75" s="41"/>
      <c r="W75" s="41"/>
      <c r="X75" s="41"/>
    </row>
    <row r="76" spans="2:24" s="45" customFormat="1" ht="15" thickBot="1" x14ac:dyDescent="0.4">
      <c r="C76" s="47"/>
      <c r="D76" s="46"/>
      <c r="E76" s="46"/>
      <c r="F76" s="46"/>
      <c r="G76" s="46"/>
      <c r="H76" s="46"/>
      <c r="I76" s="46"/>
      <c r="J76" s="46"/>
      <c r="K76" s="46"/>
      <c r="L76" s="87"/>
      <c r="M76" s="88"/>
      <c r="N76" s="89" t="s">
        <v>98</v>
      </c>
      <c r="O76" s="83">
        <f>SUM(O70:O74)</f>
        <v>330000</v>
      </c>
      <c r="P76" s="84">
        <f>SUM(P70:P74)</f>
        <v>455000</v>
      </c>
      <c r="Q76" s="84">
        <f>SUM(Q70:Q74)</f>
        <v>525000</v>
      </c>
      <c r="R76" s="84">
        <f>SUM(R70:R74)</f>
        <v>0</v>
      </c>
      <c r="S76" s="85">
        <f>SUM(S70:S74)</f>
        <v>0</v>
      </c>
      <c r="T76" s="61">
        <f>SUM(O76:S76)</f>
        <v>1310000</v>
      </c>
      <c r="U76" s="147">
        <f>SUM(U70:U74)</f>
        <v>0</v>
      </c>
      <c r="V76" s="149">
        <f t="shared" ref="V76:X76" si="49">SUM(V70:V74)</f>
        <v>860000</v>
      </c>
      <c r="W76" s="149">
        <f>SUM(W70:W74)</f>
        <v>450000</v>
      </c>
      <c r="X76" s="150">
        <f t="shared" si="49"/>
        <v>0</v>
      </c>
    </row>
    <row r="77" spans="2:24" s="2" customFormat="1" x14ac:dyDescent="0.35">
      <c r="C77" s="16"/>
      <c r="D77" s="9"/>
      <c r="E77" s="9"/>
      <c r="F77" s="9"/>
      <c r="G77" s="9"/>
      <c r="H77" s="9"/>
      <c r="I77" s="9"/>
      <c r="J77" s="5"/>
      <c r="K77" s="5"/>
      <c r="L77" s="5"/>
      <c r="M77" s="5"/>
      <c r="N77" s="4"/>
      <c r="O77" s="41"/>
      <c r="P77" s="41"/>
      <c r="Q77" s="41"/>
      <c r="R77" s="41"/>
      <c r="S77" s="41"/>
      <c r="T77" s="42"/>
      <c r="U77" s="42"/>
      <c r="V77" s="42"/>
      <c r="W77" s="42"/>
      <c r="X77" s="42"/>
    </row>
    <row r="78" spans="2:24" x14ac:dyDescent="0.35">
      <c r="C78" s="16"/>
      <c r="D78" s="9"/>
      <c r="E78" s="9"/>
      <c r="F78" s="9"/>
      <c r="G78" s="9"/>
      <c r="H78" s="9"/>
      <c r="I78" s="9"/>
      <c r="J78" s="5"/>
      <c r="K78" s="5"/>
      <c r="L78" s="5"/>
      <c r="M78" s="5"/>
      <c r="N78" s="4"/>
      <c r="O78" s="41"/>
      <c r="P78" s="41"/>
      <c r="Q78" s="41"/>
      <c r="R78" s="41"/>
      <c r="S78" s="41"/>
      <c r="T78" s="42"/>
      <c r="U78" s="42"/>
      <c r="V78" s="42"/>
      <c r="W78" s="42"/>
      <c r="X78" s="42"/>
    </row>
    <row r="79" spans="2:24" ht="15" thickBot="1" x14ac:dyDescent="0.4">
      <c r="C79" s="16"/>
      <c r="D79" s="9"/>
      <c r="E79" s="9"/>
      <c r="F79" s="9"/>
      <c r="G79" s="9"/>
      <c r="H79" s="9"/>
      <c r="I79" s="9"/>
      <c r="J79" s="5"/>
      <c r="K79" s="5"/>
      <c r="L79" s="5"/>
      <c r="M79" s="5"/>
      <c r="N79" s="4"/>
      <c r="O79" s="41"/>
      <c r="P79" s="41"/>
      <c r="Q79" s="41"/>
      <c r="R79" s="41"/>
      <c r="S79" s="41"/>
      <c r="T79" s="42"/>
      <c r="U79" s="42"/>
      <c r="V79" s="42"/>
      <c r="W79" s="42"/>
      <c r="X79" s="42"/>
    </row>
    <row r="80" spans="2:24" ht="29.5" thickBot="1" x14ac:dyDescent="0.4">
      <c r="C80" s="91"/>
      <c r="D80" s="92"/>
      <c r="E80" s="92"/>
      <c r="F80" s="92"/>
      <c r="G80" s="92"/>
      <c r="H80" s="92"/>
      <c r="I80" s="92"/>
      <c r="J80" s="93"/>
      <c r="K80" s="93"/>
      <c r="L80" s="93"/>
      <c r="M80" s="93"/>
      <c r="N80" s="94"/>
      <c r="O80" s="100" t="s">
        <v>64</v>
      </c>
      <c r="P80" s="100" t="s">
        <v>39</v>
      </c>
      <c r="Q80" s="100" t="s">
        <v>65</v>
      </c>
      <c r="R80" s="100" t="s">
        <v>66</v>
      </c>
      <c r="S80" s="101" t="s">
        <v>67</v>
      </c>
      <c r="T80" s="105" t="s">
        <v>55</v>
      </c>
      <c r="U80" s="144"/>
      <c r="V80" s="144"/>
      <c r="W80" s="144"/>
      <c r="X80" s="144"/>
    </row>
    <row r="81" spans="2:24" s="45" customFormat="1" ht="15" thickBot="1" x14ac:dyDescent="0.4">
      <c r="C81" s="95"/>
      <c r="D81" s="96"/>
      <c r="E81" s="96"/>
      <c r="F81" s="96"/>
      <c r="G81" s="96"/>
      <c r="H81" s="96"/>
      <c r="I81" s="96"/>
      <c r="J81" s="96"/>
      <c r="K81" s="96"/>
      <c r="L81" s="90"/>
      <c r="M81" s="97"/>
      <c r="N81" s="98" t="s">
        <v>99</v>
      </c>
      <c r="O81" s="102">
        <f>O76+O66+O15+O54+O37</f>
        <v>2714500</v>
      </c>
      <c r="P81" s="103">
        <f>P76+P66+P15+P54+P37</f>
        <v>8447500</v>
      </c>
      <c r="Q81" s="103">
        <f>Q76+Q66+Q15+Q54+Q37</f>
        <v>1560500</v>
      </c>
      <c r="R81" s="103">
        <f>R76+R66+R15+R54+R37</f>
        <v>631000</v>
      </c>
      <c r="S81" s="104">
        <f>S76+S66+S15+S54+S37</f>
        <v>331000</v>
      </c>
      <c r="T81" s="99">
        <f>SUM(O81:S81)</f>
        <v>13684500</v>
      </c>
      <c r="U81" s="102">
        <f>SUM(U76,U66,U15,U54,U37)</f>
        <v>0</v>
      </c>
      <c r="V81" s="103">
        <f>SUM(V76,V66,V15,V54,V37)</f>
        <v>2400000</v>
      </c>
      <c r="W81" s="103">
        <f>SUM(W76,W66,W15,W54,W37)</f>
        <v>10284500</v>
      </c>
      <c r="X81" s="103">
        <f>SUM(X76,X66,X15,X54,X37)</f>
        <v>1000000</v>
      </c>
    </row>
    <row r="82" spans="2:24" x14ac:dyDescent="0.35">
      <c r="C82" s="2"/>
      <c r="D82" s="2"/>
      <c r="E82" s="2"/>
      <c r="F82" s="2"/>
      <c r="G82" s="2"/>
      <c r="H82" s="2"/>
      <c r="I82" s="2"/>
      <c r="J82" s="5"/>
      <c r="K82" s="5"/>
      <c r="L82" s="5"/>
      <c r="M82" s="5"/>
      <c r="N82" s="4"/>
      <c r="O82" s="39"/>
      <c r="P82" s="39"/>
      <c r="Q82" s="39"/>
      <c r="R82" s="39"/>
      <c r="S82" s="39"/>
      <c r="T82" s="39"/>
      <c r="U82" s="39"/>
      <c r="V82" s="39"/>
      <c r="W82" s="39"/>
      <c r="X82" s="39"/>
    </row>
    <row r="83" spans="2:24" ht="15" thickBot="1" x14ac:dyDescent="0.4">
      <c r="C83" s="2"/>
      <c r="D83" s="2"/>
      <c r="E83" s="2"/>
      <c r="F83" s="2"/>
      <c r="G83" s="2"/>
      <c r="H83" s="2"/>
      <c r="I83" s="2"/>
      <c r="J83" s="5"/>
      <c r="K83" s="5"/>
      <c r="L83" s="5"/>
      <c r="M83" s="5"/>
      <c r="N83" s="4"/>
      <c r="O83" s="39"/>
      <c r="P83" s="39"/>
      <c r="Q83" s="39"/>
      <c r="R83" s="39"/>
      <c r="S83" s="39"/>
      <c r="T83" s="39"/>
      <c r="U83" s="39"/>
      <c r="V83" s="39"/>
      <c r="W83" s="39"/>
      <c r="X83" s="39"/>
    </row>
    <row r="84" spans="2:24" s="71" customFormat="1" ht="29" x14ac:dyDescent="0.35">
      <c r="C84" s="75" t="s">
        <v>91</v>
      </c>
      <c r="D84" s="74" t="s">
        <v>7</v>
      </c>
      <c r="E84" s="74"/>
      <c r="F84" s="74"/>
      <c r="G84" s="74" t="s">
        <v>26</v>
      </c>
      <c r="H84" s="72">
        <v>2021</v>
      </c>
      <c r="I84" s="72">
        <v>2022</v>
      </c>
      <c r="J84" s="72">
        <v>2023</v>
      </c>
      <c r="K84" s="72">
        <v>2024</v>
      </c>
      <c r="L84" s="72">
        <v>2025</v>
      </c>
      <c r="M84" s="69" t="s">
        <v>36</v>
      </c>
      <c r="N84" s="62" t="s">
        <v>37</v>
      </c>
      <c r="O84" s="73" t="s">
        <v>64</v>
      </c>
      <c r="P84" s="73" t="s">
        <v>39</v>
      </c>
      <c r="Q84" s="73" t="s">
        <v>65</v>
      </c>
      <c r="R84" s="73" t="s">
        <v>66</v>
      </c>
      <c r="S84" s="73" t="s">
        <v>67</v>
      </c>
      <c r="T84" s="70" t="s">
        <v>82</v>
      </c>
      <c r="U84" s="160"/>
      <c r="V84" s="161"/>
      <c r="W84" s="161"/>
      <c r="X84" s="162"/>
    </row>
    <row r="85" spans="2:24" x14ac:dyDescent="0.35">
      <c r="B85" s="170">
        <v>4.2</v>
      </c>
      <c r="C85" s="284" t="s">
        <v>48</v>
      </c>
      <c r="D85" s="65" t="s">
        <v>318</v>
      </c>
      <c r="E85" s="65" t="s">
        <v>108</v>
      </c>
      <c r="F85" s="66"/>
      <c r="G85" s="65" t="s">
        <v>32</v>
      </c>
      <c r="H85" s="126"/>
      <c r="I85" s="127"/>
      <c r="J85" s="127"/>
      <c r="K85" s="127"/>
      <c r="L85" s="127"/>
      <c r="M85" s="127"/>
      <c r="N85" s="118">
        <v>7.0000000000000007E-2</v>
      </c>
      <c r="O85" s="48">
        <v>0</v>
      </c>
      <c r="P85" s="48">
        <f>ROUND($N85*O37+O85,-3)</f>
        <v>48000</v>
      </c>
      <c r="Q85" s="48">
        <f t="shared" ref="Q85:S85" si="50">ROUND($N85*P37+P85,-3)</f>
        <v>362000</v>
      </c>
      <c r="R85" s="48">
        <f t="shared" si="50"/>
        <v>370000</v>
      </c>
      <c r="S85" s="48">
        <f t="shared" si="50"/>
        <v>375000</v>
      </c>
      <c r="T85" s="59">
        <f t="shared" ref="T85:T86" si="51">SUM(O85:S85)</f>
        <v>1155000</v>
      </c>
      <c r="U85" s="155">
        <f>IF($E85=U$18,$T85,0)</f>
        <v>0</v>
      </c>
      <c r="V85" s="148">
        <f t="shared" ref="V85:X86" si="52">IF($E85=V$18,$T85,0)</f>
        <v>0</v>
      </c>
      <c r="W85" s="148">
        <f t="shared" si="52"/>
        <v>0</v>
      </c>
      <c r="X85" s="156">
        <f t="shared" si="52"/>
        <v>1155000</v>
      </c>
    </row>
    <row r="86" spans="2:24" ht="15" thickBot="1" x14ac:dyDescent="0.4">
      <c r="B86" s="170">
        <v>4.2</v>
      </c>
      <c r="C86" s="285"/>
      <c r="D86" s="67" t="s">
        <v>319</v>
      </c>
      <c r="E86" s="67" t="s">
        <v>108</v>
      </c>
      <c r="F86" s="68"/>
      <c r="G86" s="67" t="s">
        <v>32</v>
      </c>
      <c r="H86" s="129"/>
      <c r="I86" s="130"/>
      <c r="J86" s="130"/>
      <c r="K86" s="130"/>
      <c r="L86" s="130"/>
      <c r="M86" s="131"/>
      <c r="N86" s="119">
        <v>7.0000000000000007E-2</v>
      </c>
      <c r="O86" s="49">
        <v>0</v>
      </c>
      <c r="P86" s="49">
        <f>ROUND($N86*O54+O86,-3)</f>
        <v>56000</v>
      </c>
      <c r="Q86" s="49">
        <f t="shared" ref="Q86:S86" si="53">ROUND($N86*P54+P86,-3)</f>
        <v>203000</v>
      </c>
      <c r="R86" s="49">
        <f t="shared" si="53"/>
        <v>224000</v>
      </c>
      <c r="S86" s="49">
        <f t="shared" si="53"/>
        <v>224000</v>
      </c>
      <c r="T86" s="60">
        <f t="shared" si="51"/>
        <v>707000</v>
      </c>
      <c r="U86" s="157">
        <f>IF($E86=U$18,$T86,0)</f>
        <v>0</v>
      </c>
      <c r="V86" s="158">
        <f t="shared" si="52"/>
        <v>0</v>
      </c>
      <c r="W86" s="158">
        <f t="shared" si="52"/>
        <v>0</v>
      </c>
      <c r="X86" s="159">
        <f t="shared" si="52"/>
        <v>707000</v>
      </c>
    </row>
    <row r="87" spans="2:24" ht="15" thickBot="1" x14ac:dyDescent="0.4">
      <c r="C87" s="16"/>
      <c r="D87" s="9"/>
      <c r="E87" s="9"/>
      <c r="F87" s="9"/>
      <c r="G87" s="9"/>
      <c r="H87" s="9"/>
      <c r="I87" s="9"/>
      <c r="J87" s="5"/>
      <c r="K87" s="5"/>
      <c r="L87" s="5"/>
      <c r="M87" s="5"/>
      <c r="N87" s="4"/>
      <c r="O87" s="39"/>
      <c r="P87" s="39"/>
      <c r="Q87" s="40"/>
      <c r="R87" s="40"/>
      <c r="S87" s="40"/>
      <c r="T87" s="41"/>
      <c r="U87" s="41"/>
      <c r="V87" s="41"/>
      <c r="W87" s="41"/>
      <c r="X87" s="41"/>
    </row>
    <row r="88" spans="2:24" s="45" customFormat="1" ht="15" thickBot="1" x14ac:dyDescent="0.4">
      <c r="C88" s="47"/>
      <c r="D88" s="46"/>
      <c r="E88" s="46"/>
      <c r="F88" s="46"/>
      <c r="G88" s="46"/>
      <c r="H88" s="46"/>
      <c r="I88" s="46"/>
      <c r="J88" s="46"/>
      <c r="K88" s="46"/>
      <c r="L88" s="87"/>
      <c r="M88" s="88"/>
      <c r="N88" s="89" t="s">
        <v>100</v>
      </c>
      <c r="O88" s="83">
        <f>SUM(O85:O86)</f>
        <v>0</v>
      </c>
      <c r="P88" s="84">
        <f>SUM(P85:P86)</f>
        <v>104000</v>
      </c>
      <c r="Q88" s="84">
        <f>SUM(Q85:Q86)</f>
        <v>565000</v>
      </c>
      <c r="R88" s="84">
        <f>SUM(R85:R86)</f>
        <v>594000</v>
      </c>
      <c r="S88" s="85">
        <f>SUM(S85:S86)</f>
        <v>599000</v>
      </c>
      <c r="T88" s="61">
        <f>SUM(O88:S88)</f>
        <v>1862000</v>
      </c>
      <c r="U88" s="147">
        <f>SUM(U85:U86)</f>
        <v>0</v>
      </c>
      <c r="V88" s="149">
        <f t="shared" ref="V88:X88" si="54">SUM(V85:V86)</f>
        <v>0</v>
      </c>
      <c r="W88" s="149">
        <f t="shared" si="54"/>
        <v>0</v>
      </c>
      <c r="X88" s="150">
        <f t="shared" si="54"/>
        <v>1862000</v>
      </c>
    </row>
    <row r="89" spans="2:24" x14ac:dyDescent="0.35">
      <c r="C89" s="2"/>
      <c r="D89" s="2"/>
      <c r="E89" s="2"/>
      <c r="F89" s="2"/>
      <c r="G89" s="2"/>
      <c r="H89" s="2"/>
      <c r="I89" s="2"/>
      <c r="J89" s="5"/>
      <c r="K89" s="5"/>
      <c r="L89" s="5"/>
      <c r="M89" s="5"/>
      <c r="N89" s="4"/>
      <c r="O89" s="39"/>
      <c r="P89" s="39"/>
      <c r="Q89" s="39"/>
      <c r="R89" s="39"/>
      <c r="S89" s="39"/>
      <c r="T89" s="39"/>
      <c r="U89" s="39"/>
      <c r="V89" s="39"/>
      <c r="W89" s="39"/>
      <c r="X89" s="39"/>
    </row>
    <row r="90" spans="2:24" ht="15" thickBot="1" x14ac:dyDescent="0.4">
      <c r="C90" s="2"/>
      <c r="D90" s="2"/>
      <c r="E90" s="2"/>
      <c r="F90" s="2"/>
      <c r="G90" s="2"/>
      <c r="H90" s="2"/>
      <c r="I90" s="2"/>
      <c r="J90" s="5"/>
      <c r="K90" s="5"/>
      <c r="L90" s="5"/>
      <c r="M90" s="5"/>
      <c r="N90" s="4"/>
      <c r="O90" s="39"/>
      <c r="P90" s="39"/>
      <c r="Q90" s="39"/>
      <c r="R90" s="39"/>
      <c r="S90" s="39"/>
      <c r="T90" s="39"/>
      <c r="U90" s="39"/>
      <c r="V90" s="39"/>
      <c r="W90" s="39"/>
      <c r="X90" s="39"/>
    </row>
    <row r="91" spans="2:24" ht="30" thickTop="1" thickBot="1" x14ac:dyDescent="0.4">
      <c r="C91" s="91"/>
      <c r="D91" s="92"/>
      <c r="E91" s="92"/>
      <c r="F91" s="92"/>
      <c r="G91" s="92"/>
      <c r="H91" s="92"/>
      <c r="I91" s="92"/>
      <c r="J91" s="93"/>
      <c r="K91" s="93"/>
      <c r="L91" s="93"/>
      <c r="M91" s="93"/>
      <c r="N91" s="94"/>
      <c r="O91" s="43" t="s">
        <v>64</v>
      </c>
      <c r="P91" s="43" t="s">
        <v>39</v>
      </c>
      <c r="Q91" s="43" t="s">
        <v>65</v>
      </c>
      <c r="R91" s="43" t="s">
        <v>66</v>
      </c>
      <c r="S91" s="43" t="s">
        <v>67</v>
      </c>
      <c r="T91" s="86" t="s">
        <v>83</v>
      </c>
      <c r="U91" s="160"/>
      <c r="V91" s="161"/>
      <c r="W91" s="161"/>
      <c r="X91" s="162"/>
    </row>
    <row r="92" spans="2:24" s="45" customFormat="1" ht="15.5" thickTop="1" thickBot="1" x14ac:dyDescent="0.4">
      <c r="C92" s="95"/>
      <c r="D92" s="96"/>
      <c r="E92" s="96"/>
      <c r="F92" s="96"/>
      <c r="G92" s="96"/>
      <c r="H92" s="96"/>
      <c r="I92" s="96"/>
      <c r="J92" s="96"/>
      <c r="K92" s="96"/>
      <c r="L92" s="90"/>
      <c r="M92" s="97"/>
      <c r="N92" s="98" t="s">
        <v>101</v>
      </c>
      <c r="O92" s="102">
        <f t="shared" ref="O92:S92" si="55">O88+O81</f>
        <v>2714500</v>
      </c>
      <c r="P92" s="103">
        <f t="shared" si="55"/>
        <v>8551500</v>
      </c>
      <c r="Q92" s="103">
        <f t="shared" si="55"/>
        <v>2125500</v>
      </c>
      <c r="R92" s="103">
        <f t="shared" si="55"/>
        <v>1225000</v>
      </c>
      <c r="S92" s="104">
        <f t="shared" si="55"/>
        <v>930000</v>
      </c>
      <c r="T92" s="86">
        <f>T88+T81</f>
        <v>15546500</v>
      </c>
      <c r="U92" s="147">
        <f t="shared" ref="U92:X92" si="56">U88+U81</f>
        <v>0</v>
      </c>
      <c r="V92" s="149">
        <f t="shared" si="56"/>
        <v>2400000</v>
      </c>
      <c r="W92" s="149">
        <f t="shared" si="56"/>
        <v>10284500</v>
      </c>
      <c r="X92" s="150">
        <f t="shared" si="56"/>
        <v>2862000</v>
      </c>
    </row>
    <row r="93" spans="2:24" s="2" customFormat="1" x14ac:dyDescent="0.35">
      <c r="C93" s="16"/>
      <c r="D93" s="9"/>
      <c r="E93" s="9"/>
      <c r="F93" s="9"/>
      <c r="G93" s="9"/>
      <c r="H93" s="9"/>
      <c r="I93" s="9"/>
      <c r="J93" s="5"/>
      <c r="K93" s="5"/>
      <c r="L93" s="5"/>
      <c r="M93" s="5"/>
      <c r="N93" s="4"/>
      <c r="O93" s="41"/>
      <c r="P93" s="41"/>
      <c r="Q93" s="41"/>
      <c r="R93" s="41"/>
      <c r="S93" s="41"/>
      <c r="T93" s="42"/>
      <c r="U93" s="42"/>
      <c r="V93" s="42"/>
      <c r="W93" s="42"/>
      <c r="X93" s="42"/>
    </row>
    <row r="94" spans="2:24" ht="15" thickBot="1" x14ac:dyDescent="0.4">
      <c r="N94" s="11"/>
      <c r="O94" s="11"/>
      <c r="P94" s="11"/>
      <c r="Q94" s="11"/>
      <c r="R94" s="11"/>
      <c r="S94" s="11"/>
      <c r="T94" s="11"/>
      <c r="U94" s="11"/>
      <c r="V94" s="11"/>
      <c r="W94" s="11"/>
      <c r="X94" s="11"/>
    </row>
    <row r="95" spans="2:24" s="71" customFormat="1" x14ac:dyDescent="0.35">
      <c r="C95" s="75" t="s">
        <v>93</v>
      </c>
      <c r="D95" s="74" t="s">
        <v>7</v>
      </c>
      <c r="E95" s="74"/>
      <c r="F95" s="74"/>
      <c r="G95" s="74" t="s">
        <v>26</v>
      </c>
      <c r="H95" s="72">
        <v>2021</v>
      </c>
      <c r="I95" s="72">
        <v>2022</v>
      </c>
      <c r="J95" s="72">
        <v>2023</v>
      </c>
      <c r="K95" s="72">
        <v>2024</v>
      </c>
      <c r="L95" s="72">
        <v>2025</v>
      </c>
      <c r="M95" s="69"/>
      <c r="N95" s="62"/>
      <c r="O95" s="73">
        <v>2018</v>
      </c>
      <c r="P95" s="73">
        <v>2019</v>
      </c>
      <c r="Q95" s="73">
        <v>2020</v>
      </c>
      <c r="R95" s="73">
        <v>2021</v>
      </c>
      <c r="S95" s="73">
        <v>2022</v>
      </c>
      <c r="T95" s="70" t="s">
        <v>0</v>
      </c>
      <c r="U95" s="11"/>
      <c r="V95" s="11"/>
      <c r="W95" s="11"/>
      <c r="X95" s="11"/>
    </row>
    <row r="96" spans="2:24" x14ac:dyDescent="0.35">
      <c r="C96" s="284" t="s">
        <v>49</v>
      </c>
      <c r="D96" s="6" t="s">
        <v>50</v>
      </c>
      <c r="E96" s="6"/>
      <c r="F96" s="6"/>
      <c r="G96" s="6" t="s">
        <v>52</v>
      </c>
      <c r="H96" s="32"/>
      <c r="I96" s="33"/>
      <c r="J96" s="33"/>
      <c r="K96" s="33"/>
      <c r="L96" s="33"/>
      <c r="M96" s="29"/>
      <c r="N96" s="26"/>
      <c r="O96" s="26"/>
      <c r="P96" s="26"/>
      <c r="Q96" s="26"/>
      <c r="R96" s="26"/>
      <c r="S96" s="27"/>
      <c r="T96" s="34"/>
      <c r="U96" s="11"/>
      <c r="V96" s="11"/>
      <c r="W96" s="11"/>
      <c r="X96" s="11"/>
    </row>
    <row r="97" spans="3:24" x14ac:dyDescent="0.35">
      <c r="C97" s="284"/>
      <c r="D97" s="6" t="s">
        <v>51</v>
      </c>
      <c r="E97" s="6"/>
      <c r="F97" s="6"/>
      <c r="G97" s="6" t="s">
        <v>53</v>
      </c>
      <c r="H97" s="25"/>
      <c r="I97" s="25"/>
      <c r="J97" s="25"/>
      <c r="K97" s="25"/>
      <c r="L97" s="25"/>
      <c r="M97" s="30"/>
      <c r="N97" s="25"/>
      <c r="O97" s="10">
        <f>H96*H97</f>
        <v>0</v>
      </c>
      <c r="P97" s="10">
        <f t="shared" ref="P97:S97" si="57">I96*I97</f>
        <v>0</v>
      </c>
      <c r="Q97" s="10">
        <f t="shared" si="57"/>
        <v>0</v>
      </c>
      <c r="R97" s="10">
        <f t="shared" si="57"/>
        <v>0</v>
      </c>
      <c r="S97" s="10">
        <f t="shared" si="57"/>
        <v>0</v>
      </c>
      <c r="T97" s="21">
        <f t="shared" ref="T97:T98" si="58">SUM(O97:S97)</f>
        <v>0</v>
      </c>
      <c r="U97" s="11"/>
      <c r="V97" s="11"/>
      <c r="W97" s="11"/>
      <c r="X97" s="11"/>
    </row>
    <row r="98" spans="3:24" ht="15" thickBot="1" x14ac:dyDescent="0.4">
      <c r="C98" s="285"/>
      <c r="D98" s="17" t="s">
        <v>61</v>
      </c>
      <c r="E98" s="17"/>
      <c r="F98" s="17"/>
      <c r="G98" s="17" t="s">
        <v>54</v>
      </c>
      <c r="H98" s="28"/>
      <c r="I98" s="28"/>
      <c r="J98" s="28"/>
      <c r="K98" s="28"/>
      <c r="L98" s="28"/>
      <c r="M98" s="31"/>
      <c r="N98" s="28"/>
      <c r="O98" s="18">
        <f>H96*H98</f>
        <v>0</v>
      </c>
      <c r="P98" s="18">
        <f t="shared" ref="P98:S98" si="59">I96*I98</f>
        <v>0</v>
      </c>
      <c r="Q98" s="18">
        <f t="shared" si="59"/>
        <v>0</v>
      </c>
      <c r="R98" s="18">
        <f t="shared" si="59"/>
        <v>0</v>
      </c>
      <c r="S98" s="23">
        <f t="shared" si="59"/>
        <v>0</v>
      </c>
      <c r="T98" s="22">
        <f t="shared" si="58"/>
        <v>0</v>
      </c>
      <c r="U98" s="11"/>
      <c r="V98" s="11"/>
      <c r="W98" s="11"/>
      <c r="X98" s="11"/>
    </row>
    <row r="99" spans="3:24" ht="15" thickBot="1" x14ac:dyDescent="0.4">
      <c r="C99" s="8"/>
      <c r="D99" s="7"/>
      <c r="E99" s="7"/>
      <c r="F99" s="7"/>
      <c r="G99" s="7"/>
      <c r="H99" s="13"/>
      <c r="I99" s="13"/>
      <c r="J99" s="14"/>
      <c r="K99" s="14"/>
      <c r="L99" s="14"/>
      <c r="M99" s="11"/>
      <c r="N99" s="11"/>
      <c r="O99" s="11"/>
      <c r="P99" s="11"/>
      <c r="Q99" s="11"/>
      <c r="R99" s="11"/>
      <c r="S99" s="11"/>
      <c r="T99" s="24"/>
      <c r="U99" s="11"/>
      <c r="V99" s="11"/>
      <c r="W99" s="11"/>
      <c r="X99" s="11"/>
    </row>
    <row r="100" spans="3:24" ht="15" thickBot="1" x14ac:dyDescent="0.4">
      <c r="L100" s="87"/>
      <c r="M100" s="88"/>
      <c r="N100" s="89" t="s">
        <v>102</v>
      </c>
      <c r="O100" s="35">
        <f>O98</f>
        <v>0</v>
      </c>
      <c r="P100" s="35">
        <f t="shared" ref="P100:S100" si="60">P98</f>
        <v>0</v>
      </c>
      <c r="Q100" s="35">
        <f t="shared" si="60"/>
        <v>0</v>
      </c>
      <c r="R100" s="35">
        <f t="shared" si="60"/>
        <v>0</v>
      </c>
      <c r="S100" s="35">
        <f t="shared" si="60"/>
        <v>0</v>
      </c>
      <c r="T100" s="15">
        <f>SUM(O100:S100)</f>
        <v>0</v>
      </c>
      <c r="U100" s="11"/>
      <c r="V100" s="11"/>
      <c r="W100" s="11"/>
      <c r="X100" s="11"/>
    </row>
    <row r="101" spans="3:24" ht="15" thickBot="1" x14ac:dyDescent="0.4">
      <c r="U101" s="11"/>
      <c r="V101" s="11"/>
      <c r="W101" s="11"/>
      <c r="X101" s="11"/>
    </row>
    <row r="102" spans="3:24" ht="44.5" thickTop="1" thickBot="1" x14ac:dyDescent="0.4">
      <c r="C102" s="106"/>
      <c r="D102" s="112" t="s">
        <v>103</v>
      </c>
      <c r="E102" s="107"/>
      <c r="F102" s="107"/>
      <c r="G102" s="107"/>
      <c r="H102" s="107"/>
      <c r="I102" s="107"/>
      <c r="J102" s="107"/>
      <c r="K102" s="107"/>
      <c r="L102" s="107"/>
      <c r="M102" s="107"/>
      <c r="N102" s="108"/>
      <c r="O102" s="19" t="s">
        <v>64</v>
      </c>
      <c r="P102" s="19" t="s">
        <v>39</v>
      </c>
      <c r="Q102" s="19" t="s">
        <v>65</v>
      </c>
      <c r="R102" s="19" t="s">
        <v>66</v>
      </c>
      <c r="S102" s="44" t="s">
        <v>67</v>
      </c>
      <c r="T102" s="20" t="s">
        <v>84</v>
      </c>
      <c r="U102" s="11"/>
      <c r="V102" s="11"/>
      <c r="W102" s="11"/>
      <c r="X102" s="11"/>
    </row>
    <row r="103" spans="3:24" s="45" customFormat="1" ht="15" thickBot="1" x14ac:dyDescent="0.4">
      <c r="C103" s="109"/>
      <c r="D103" s="110"/>
      <c r="E103" s="110"/>
      <c r="F103" s="110"/>
      <c r="G103" s="110"/>
      <c r="H103" s="110"/>
      <c r="I103" s="110"/>
      <c r="J103" s="110"/>
      <c r="K103" s="110"/>
      <c r="L103" s="110"/>
      <c r="M103" s="110"/>
      <c r="N103" s="111"/>
      <c r="O103" s="83">
        <f>O88+O100</f>
        <v>0</v>
      </c>
      <c r="P103" s="84">
        <f>P88+P100</f>
        <v>104000</v>
      </c>
      <c r="Q103" s="84">
        <f>Q88+Q100</f>
        <v>565000</v>
      </c>
      <c r="R103" s="84">
        <f>R88+R100</f>
        <v>594000</v>
      </c>
      <c r="S103" s="85">
        <f>S88+S100</f>
        <v>599000</v>
      </c>
      <c r="T103" s="61">
        <f>S103</f>
        <v>599000</v>
      </c>
      <c r="U103" s="11"/>
      <c r="V103" s="11"/>
      <c r="W103" s="11"/>
      <c r="X103" s="11"/>
    </row>
    <row r="104" spans="3:24" x14ac:dyDescent="0.35">
      <c r="Q104" s="282"/>
      <c r="R104" s="282"/>
      <c r="S104" s="113"/>
      <c r="U104" s="11"/>
      <c r="V104" s="11"/>
      <c r="W104" s="11"/>
      <c r="X104" s="11"/>
    </row>
    <row r="105" spans="3:24" x14ac:dyDescent="0.35">
      <c r="Q105" s="283"/>
      <c r="R105" s="283"/>
      <c r="S105" s="113"/>
      <c r="U105" s="11"/>
      <c r="V105" s="11"/>
      <c r="W105" s="11"/>
      <c r="X105" s="11"/>
    </row>
  </sheetData>
  <mergeCells count="8">
    <mergeCell ref="Q104:R105"/>
    <mergeCell ref="C20:C35"/>
    <mergeCell ref="C41:C52"/>
    <mergeCell ref="C4:C13"/>
    <mergeCell ref="C58:C64"/>
    <mergeCell ref="C70:C74"/>
    <mergeCell ref="C85:C86"/>
    <mergeCell ref="C96:C98"/>
  </mergeCells>
  <phoneticPr fontId="8" type="noConversion"/>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779CE-ACC5-491E-9B2B-BA2479857D8A}">
  <dimension ref="B1:X104"/>
  <sheetViews>
    <sheetView topLeftCell="A61" zoomScale="80" zoomScaleNormal="80" workbookViewId="0">
      <selection activeCell="D84" sqref="D84:D85"/>
    </sheetView>
  </sheetViews>
  <sheetFormatPr defaultColWidth="11.453125" defaultRowHeight="14.5" x14ac:dyDescent="0.35"/>
  <cols>
    <col min="1" max="1" width="4" style="1" customWidth="1"/>
    <col min="2" max="2" width="6.36328125" style="1" customWidth="1"/>
    <col min="3" max="3" width="17.6328125" style="1" customWidth="1"/>
    <col min="4" max="4" width="47.81640625" style="1" customWidth="1"/>
    <col min="5" max="5" width="10" style="1" customWidth="1"/>
    <col min="6" max="6" width="11" style="1" customWidth="1"/>
    <col min="7" max="7" width="21.6328125" style="1" customWidth="1"/>
    <col min="8" max="8" width="7.453125" style="1" customWidth="1"/>
    <col min="9" max="12" width="7.36328125" style="1" customWidth="1"/>
    <col min="13" max="13" width="14.36328125" style="1" customWidth="1"/>
    <col min="14" max="14" width="13.453125" style="1" customWidth="1"/>
    <col min="15" max="24" width="12.81640625" style="1" customWidth="1"/>
    <col min="25" max="16384" width="11.453125" style="1"/>
  </cols>
  <sheetData>
    <row r="1" spans="2:24" ht="15" thickBot="1" x14ac:dyDescent="0.4">
      <c r="C1" s="9"/>
      <c r="D1" s="9"/>
      <c r="E1" s="9"/>
      <c r="F1" s="9"/>
      <c r="G1" s="9"/>
      <c r="H1" s="9"/>
      <c r="I1" s="9"/>
      <c r="J1" s="9"/>
      <c r="K1" s="9"/>
      <c r="L1" s="9"/>
      <c r="M1" s="9"/>
      <c r="N1" s="9"/>
      <c r="O1" s="3"/>
      <c r="P1" s="3"/>
      <c r="Q1" s="3"/>
      <c r="R1" s="3"/>
      <c r="S1" s="3"/>
      <c r="T1" s="12"/>
      <c r="U1" s="12"/>
      <c r="V1" s="12"/>
      <c r="W1" s="12"/>
      <c r="X1" s="12"/>
    </row>
    <row r="2" spans="2:24" s="71" customFormat="1" ht="43.5" x14ac:dyDescent="0.35">
      <c r="C2" s="75" t="s">
        <v>90</v>
      </c>
      <c r="D2" s="74" t="s">
        <v>7</v>
      </c>
      <c r="E2" s="74" t="str">
        <f>E19</f>
        <v>Fin.
AFD, EU, GCF, GVNT</v>
      </c>
      <c r="F2" s="74" t="str">
        <f>F19</f>
        <v>Durée de vie (an)</v>
      </c>
      <c r="G2" s="74" t="s">
        <v>26</v>
      </c>
      <c r="H2" s="72">
        <v>2021</v>
      </c>
      <c r="I2" s="72">
        <v>2022</v>
      </c>
      <c r="J2" s="72">
        <v>2023</v>
      </c>
      <c r="K2" s="72">
        <v>2024</v>
      </c>
      <c r="L2" s="72">
        <v>2025</v>
      </c>
      <c r="M2" s="69" t="s">
        <v>36</v>
      </c>
      <c r="N2" s="62" t="s">
        <v>37</v>
      </c>
      <c r="O2" s="73" t="s">
        <v>9</v>
      </c>
      <c r="P2" s="73" t="s">
        <v>10</v>
      </c>
      <c r="Q2" s="73" t="s">
        <v>11</v>
      </c>
      <c r="R2" s="73" t="s">
        <v>12</v>
      </c>
      <c r="S2" s="73" t="s">
        <v>39</v>
      </c>
      <c r="T2" s="70" t="s">
        <v>8</v>
      </c>
      <c r="U2" s="146" t="s">
        <v>85</v>
      </c>
      <c r="V2" s="146" t="s">
        <v>264</v>
      </c>
      <c r="W2" s="146" t="s">
        <v>265</v>
      </c>
      <c r="X2" s="146" t="s">
        <v>108</v>
      </c>
    </row>
    <row r="3" spans="2:24" x14ac:dyDescent="0.35">
      <c r="B3" s="1" t="s">
        <v>179</v>
      </c>
      <c r="C3" s="218"/>
      <c r="D3" s="65" t="s">
        <v>306</v>
      </c>
      <c r="E3" s="76" t="s">
        <v>265</v>
      </c>
      <c r="F3" s="66"/>
      <c r="G3" s="65" t="s">
        <v>32</v>
      </c>
      <c r="H3" s="51">
        <v>1</v>
      </c>
      <c r="I3" s="51"/>
      <c r="J3" s="51"/>
      <c r="K3" s="51"/>
      <c r="L3" s="51"/>
      <c r="M3" s="56">
        <f t="shared" ref="M3" si="0">SUM(H3:K3)</f>
        <v>1</v>
      </c>
      <c r="N3" s="63">
        <v>10000</v>
      </c>
      <c r="O3" s="48">
        <f t="shared" ref="O3:S4" si="1">H3*$N3</f>
        <v>10000</v>
      </c>
      <c r="P3" s="48">
        <f t="shared" si="1"/>
        <v>0</v>
      </c>
      <c r="Q3" s="48">
        <f t="shared" si="1"/>
        <v>0</v>
      </c>
      <c r="R3" s="48">
        <f t="shared" si="1"/>
        <v>0</v>
      </c>
      <c r="S3" s="48">
        <f t="shared" si="1"/>
        <v>0</v>
      </c>
      <c r="T3" s="140">
        <f t="shared" ref="T3" si="2">SUM(O3:S3)</f>
        <v>10000</v>
      </c>
      <c r="U3" s="155">
        <f>IF($E3=U$2,$T3,0)</f>
        <v>0</v>
      </c>
      <c r="V3" s="148">
        <f t="shared" ref="V3:X3" si="3">IF($E3=V$2,$T3,0)</f>
        <v>0</v>
      </c>
      <c r="W3" s="148">
        <f t="shared" si="3"/>
        <v>10000</v>
      </c>
      <c r="X3" s="156">
        <f t="shared" si="3"/>
        <v>0</v>
      </c>
    </row>
    <row r="4" spans="2:24" x14ac:dyDescent="0.35">
      <c r="B4" s="1" t="s">
        <v>179</v>
      </c>
      <c r="C4" s="284"/>
      <c r="D4" s="65" t="s">
        <v>176</v>
      </c>
      <c r="E4" s="65" t="s">
        <v>265</v>
      </c>
      <c r="F4" s="66"/>
      <c r="G4" s="65" t="s">
        <v>32</v>
      </c>
      <c r="H4" s="51">
        <v>1</v>
      </c>
      <c r="I4" s="51"/>
      <c r="J4" s="51"/>
      <c r="K4" s="51"/>
      <c r="L4" s="51"/>
      <c r="M4" s="56">
        <f t="shared" ref="M4:M7" si="4">SUM(H4:K4)</f>
        <v>1</v>
      </c>
      <c r="N4" s="63">
        <v>140000</v>
      </c>
      <c r="O4" s="48">
        <f t="shared" si="1"/>
        <v>140000</v>
      </c>
      <c r="P4" s="48">
        <f t="shared" si="1"/>
        <v>0</v>
      </c>
      <c r="Q4" s="48">
        <f t="shared" si="1"/>
        <v>0</v>
      </c>
      <c r="R4" s="48">
        <f t="shared" si="1"/>
        <v>0</v>
      </c>
      <c r="S4" s="48">
        <f t="shared" si="1"/>
        <v>0</v>
      </c>
      <c r="T4" s="59">
        <f t="shared" ref="T4:T13" si="5">SUM(O4:S4)</f>
        <v>140000</v>
      </c>
      <c r="U4" s="155">
        <f t="shared" ref="U4:X13" si="6">IF($E4=U$18,$T4,0)</f>
        <v>0</v>
      </c>
      <c r="V4" s="148">
        <f t="shared" si="6"/>
        <v>0</v>
      </c>
      <c r="W4" s="148">
        <f t="shared" si="6"/>
        <v>140000</v>
      </c>
      <c r="X4" s="156">
        <f t="shared" si="6"/>
        <v>0</v>
      </c>
    </row>
    <row r="5" spans="2:24" x14ac:dyDescent="0.35">
      <c r="B5" s="1" t="s">
        <v>173</v>
      </c>
      <c r="C5" s="284"/>
      <c r="D5" s="65" t="s">
        <v>19</v>
      </c>
      <c r="E5" s="65" t="s">
        <v>265</v>
      </c>
      <c r="F5" s="66"/>
      <c r="G5" s="65" t="s">
        <v>32</v>
      </c>
      <c r="H5" s="126"/>
      <c r="I5" s="127"/>
      <c r="J5" s="127"/>
      <c r="K5" s="127"/>
      <c r="L5" s="127"/>
      <c r="M5" s="127"/>
      <c r="N5" s="118">
        <v>0.05</v>
      </c>
      <c r="O5" s="48">
        <f>ROUND($N5*O53,-3)</f>
        <v>27000</v>
      </c>
      <c r="P5" s="48">
        <f t="shared" ref="P5:S5" si="7">ROUND($N5*P53,-3)</f>
        <v>130000</v>
      </c>
      <c r="Q5" s="48">
        <f t="shared" si="7"/>
        <v>20000</v>
      </c>
      <c r="R5" s="48">
        <f t="shared" si="7"/>
        <v>0</v>
      </c>
      <c r="S5" s="48">
        <f t="shared" si="7"/>
        <v>0</v>
      </c>
      <c r="T5" s="59">
        <f t="shared" si="5"/>
        <v>177000</v>
      </c>
      <c r="U5" s="155">
        <f t="shared" si="6"/>
        <v>0</v>
      </c>
      <c r="V5" s="148">
        <f t="shared" si="6"/>
        <v>0</v>
      </c>
      <c r="W5" s="148">
        <f t="shared" si="6"/>
        <v>177000</v>
      </c>
      <c r="X5" s="156">
        <f t="shared" si="6"/>
        <v>0</v>
      </c>
    </row>
    <row r="6" spans="2:24" x14ac:dyDescent="0.35">
      <c r="B6" s="1" t="s">
        <v>173</v>
      </c>
      <c r="C6" s="284"/>
      <c r="D6" s="65" t="s">
        <v>20</v>
      </c>
      <c r="E6" s="65" t="s">
        <v>265</v>
      </c>
      <c r="F6" s="66"/>
      <c r="G6" s="65" t="s">
        <v>32</v>
      </c>
      <c r="H6" s="126"/>
      <c r="I6" s="127"/>
      <c r="J6" s="127"/>
      <c r="K6" s="127"/>
      <c r="L6" s="127"/>
      <c r="M6" s="127"/>
      <c r="N6" s="118">
        <v>0.05</v>
      </c>
      <c r="O6" s="48">
        <f>ROUND($N6*O37,-3)</f>
        <v>28000</v>
      </c>
      <c r="P6" s="48">
        <f t="shared" ref="P6:S6" si="8">ROUND($N6*P37,-3)</f>
        <v>182000</v>
      </c>
      <c r="Q6" s="48">
        <f t="shared" si="8"/>
        <v>26000</v>
      </c>
      <c r="R6" s="48">
        <f t="shared" si="8"/>
        <v>0</v>
      </c>
      <c r="S6" s="48">
        <f t="shared" si="8"/>
        <v>0</v>
      </c>
      <c r="T6" s="59">
        <f t="shared" si="5"/>
        <v>236000</v>
      </c>
      <c r="U6" s="155">
        <f t="shared" si="6"/>
        <v>0</v>
      </c>
      <c r="V6" s="148">
        <f t="shared" si="6"/>
        <v>0</v>
      </c>
      <c r="W6" s="148">
        <f t="shared" si="6"/>
        <v>236000</v>
      </c>
      <c r="X6" s="156">
        <f t="shared" si="6"/>
        <v>0</v>
      </c>
    </row>
    <row r="7" spans="2:24" ht="29" x14ac:dyDescent="0.35">
      <c r="B7" s="1" t="s">
        <v>180</v>
      </c>
      <c r="C7" s="284"/>
      <c r="D7" s="65" t="s">
        <v>175</v>
      </c>
      <c r="E7" s="65" t="s">
        <v>265</v>
      </c>
      <c r="F7" s="66"/>
      <c r="G7" s="65" t="s">
        <v>32</v>
      </c>
      <c r="H7" s="51">
        <v>1</v>
      </c>
      <c r="I7" s="51"/>
      <c r="J7" s="51"/>
      <c r="K7" s="51"/>
      <c r="L7" s="51"/>
      <c r="M7" s="56">
        <f t="shared" si="4"/>
        <v>1</v>
      </c>
      <c r="N7" s="63">
        <v>100000</v>
      </c>
      <c r="O7" s="48">
        <f t="shared" ref="O7:S13" si="9">H7*$N7</f>
        <v>100000</v>
      </c>
      <c r="P7" s="48">
        <f t="shared" si="9"/>
        <v>0</v>
      </c>
      <c r="Q7" s="48">
        <f t="shared" si="9"/>
        <v>0</v>
      </c>
      <c r="R7" s="48">
        <f t="shared" si="9"/>
        <v>0</v>
      </c>
      <c r="S7" s="48">
        <f t="shared" si="9"/>
        <v>0</v>
      </c>
      <c r="T7" s="59">
        <f t="shared" si="5"/>
        <v>100000</v>
      </c>
      <c r="U7" s="155">
        <f t="shared" si="6"/>
        <v>0</v>
      </c>
      <c r="V7" s="148">
        <f t="shared" si="6"/>
        <v>0</v>
      </c>
      <c r="W7" s="148">
        <f t="shared" si="6"/>
        <v>100000</v>
      </c>
      <c r="X7" s="156">
        <f t="shared" si="6"/>
        <v>0</v>
      </c>
    </row>
    <row r="8" spans="2:24" x14ac:dyDescent="0.35">
      <c r="B8" s="1" t="s">
        <v>181</v>
      </c>
      <c r="C8" s="284"/>
      <c r="D8" s="76" t="s">
        <v>177</v>
      </c>
      <c r="E8" s="65" t="s">
        <v>265</v>
      </c>
      <c r="F8" s="77"/>
      <c r="G8" s="65" t="s">
        <v>32</v>
      </c>
      <c r="H8" s="51"/>
      <c r="I8" s="51">
        <v>1</v>
      </c>
      <c r="J8" s="51"/>
      <c r="K8" s="51"/>
      <c r="L8" s="51"/>
      <c r="M8" s="56">
        <f>SUM(H8:L8)</f>
        <v>1</v>
      </c>
      <c r="N8" s="80">
        <v>50000</v>
      </c>
      <c r="O8" s="81">
        <f t="shared" si="9"/>
        <v>0</v>
      </c>
      <c r="P8" s="81">
        <f t="shared" si="9"/>
        <v>50000</v>
      </c>
      <c r="Q8" s="81">
        <f t="shared" si="9"/>
        <v>0</v>
      </c>
      <c r="R8" s="81">
        <f t="shared" si="9"/>
        <v>0</v>
      </c>
      <c r="S8" s="81">
        <f t="shared" si="9"/>
        <v>0</v>
      </c>
      <c r="T8" s="82">
        <f t="shared" si="5"/>
        <v>50000</v>
      </c>
      <c r="U8" s="155">
        <f t="shared" si="6"/>
        <v>0</v>
      </c>
      <c r="V8" s="148">
        <f t="shared" si="6"/>
        <v>0</v>
      </c>
      <c r="W8" s="148">
        <f t="shared" si="6"/>
        <v>50000</v>
      </c>
      <c r="X8" s="156">
        <f t="shared" si="6"/>
        <v>0</v>
      </c>
    </row>
    <row r="9" spans="2:24" x14ac:dyDescent="0.35">
      <c r="B9" s="1" t="s">
        <v>182</v>
      </c>
      <c r="C9" s="284"/>
      <c r="D9" s="65" t="s">
        <v>178</v>
      </c>
      <c r="E9" s="65" t="s">
        <v>265</v>
      </c>
      <c r="F9" s="66"/>
      <c r="G9" s="65" t="s">
        <v>32</v>
      </c>
      <c r="H9" s="51"/>
      <c r="I9" s="51"/>
      <c r="J9" s="51">
        <v>1</v>
      </c>
      <c r="K9" s="51"/>
      <c r="L9" s="51"/>
      <c r="M9" s="56">
        <f t="shared" ref="M9" si="10">SUM(H9:K9)</f>
        <v>1</v>
      </c>
      <c r="N9" s="63">
        <v>50000</v>
      </c>
      <c r="O9" s="48">
        <f t="shared" ref="O9:O10" si="11">H9*$N9</f>
        <v>0</v>
      </c>
      <c r="P9" s="48">
        <f t="shared" ref="P9:P10" si="12">I9*$N9</f>
        <v>0</v>
      </c>
      <c r="Q9" s="48">
        <f t="shared" ref="Q9:Q10" si="13">J9*$N9</f>
        <v>50000</v>
      </c>
      <c r="R9" s="48">
        <f t="shared" ref="R9:R10" si="14">K9*$N9</f>
        <v>0</v>
      </c>
      <c r="S9" s="48">
        <f t="shared" ref="S9:S10" si="15">L9*$N9</f>
        <v>0</v>
      </c>
      <c r="T9" s="59">
        <f t="shared" ref="T9:T10" si="16">SUM(O9:S9)</f>
        <v>50000</v>
      </c>
      <c r="U9" s="155">
        <f t="shared" si="6"/>
        <v>0</v>
      </c>
      <c r="V9" s="148">
        <f t="shared" si="6"/>
        <v>0</v>
      </c>
      <c r="W9" s="148">
        <f t="shared" si="6"/>
        <v>50000</v>
      </c>
      <c r="X9" s="156">
        <f t="shared" si="6"/>
        <v>0</v>
      </c>
    </row>
    <row r="10" spans="2:24" x14ac:dyDescent="0.35">
      <c r="B10" s="1" t="s">
        <v>183</v>
      </c>
      <c r="C10" s="284"/>
      <c r="D10" s="76" t="s">
        <v>184</v>
      </c>
      <c r="E10" s="65" t="s">
        <v>265</v>
      </c>
      <c r="F10" s="77"/>
      <c r="G10" s="65" t="s">
        <v>32</v>
      </c>
      <c r="H10" s="51"/>
      <c r="I10" s="51">
        <v>1</v>
      </c>
      <c r="J10" s="51"/>
      <c r="K10" s="51"/>
      <c r="L10" s="51"/>
      <c r="M10" s="56">
        <f>SUM(H10:L10)</f>
        <v>1</v>
      </c>
      <c r="N10" s="80">
        <v>100000</v>
      </c>
      <c r="O10" s="81">
        <f t="shared" si="11"/>
        <v>0</v>
      </c>
      <c r="P10" s="81">
        <f t="shared" si="12"/>
        <v>100000</v>
      </c>
      <c r="Q10" s="81">
        <f t="shared" si="13"/>
        <v>0</v>
      </c>
      <c r="R10" s="81">
        <f t="shared" si="14"/>
        <v>0</v>
      </c>
      <c r="S10" s="81">
        <f t="shared" si="15"/>
        <v>0</v>
      </c>
      <c r="T10" s="82">
        <f t="shared" si="16"/>
        <v>100000</v>
      </c>
      <c r="U10" s="155">
        <f t="shared" si="6"/>
        <v>0</v>
      </c>
      <c r="V10" s="148">
        <f t="shared" si="6"/>
        <v>0</v>
      </c>
      <c r="W10" s="148">
        <f t="shared" si="6"/>
        <v>100000</v>
      </c>
      <c r="X10" s="156">
        <f t="shared" si="6"/>
        <v>0</v>
      </c>
    </row>
    <row r="11" spans="2:24" x14ac:dyDescent="0.35">
      <c r="B11" s="1" t="s">
        <v>183</v>
      </c>
      <c r="C11" s="284"/>
      <c r="D11" s="76" t="s">
        <v>216</v>
      </c>
      <c r="E11" s="65" t="s">
        <v>265</v>
      </c>
      <c r="F11" s="77"/>
      <c r="G11" s="65" t="s">
        <v>32</v>
      </c>
      <c r="H11" s="51"/>
      <c r="I11" s="51">
        <v>1</v>
      </c>
      <c r="J11" s="51"/>
      <c r="K11" s="51"/>
      <c r="L11" s="51"/>
      <c r="M11" s="56">
        <f>SUM(H11:L11)</f>
        <v>1</v>
      </c>
      <c r="N11" s="80">
        <v>50000</v>
      </c>
      <c r="O11" s="81">
        <f t="shared" ref="O11" si="17">H11*$N11</f>
        <v>0</v>
      </c>
      <c r="P11" s="81">
        <f t="shared" ref="P11" si="18">I11*$N11</f>
        <v>50000</v>
      </c>
      <c r="Q11" s="81">
        <f t="shared" ref="Q11" si="19">J11*$N11</f>
        <v>0</v>
      </c>
      <c r="R11" s="81">
        <f t="shared" ref="R11" si="20">K11*$N11</f>
        <v>0</v>
      </c>
      <c r="S11" s="81">
        <f t="shared" ref="S11" si="21">L11*$N11</f>
        <v>0</v>
      </c>
      <c r="T11" s="82">
        <f t="shared" ref="T11" si="22">SUM(O11:S11)</f>
        <v>50000</v>
      </c>
      <c r="U11" s="155">
        <f t="shared" si="6"/>
        <v>0</v>
      </c>
      <c r="V11" s="148">
        <f t="shared" si="6"/>
        <v>0</v>
      </c>
      <c r="W11" s="148">
        <f t="shared" si="6"/>
        <v>50000</v>
      </c>
      <c r="X11" s="156">
        <f t="shared" si="6"/>
        <v>0</v>
      </c>
    </row>
    <row r="12" spans="2:24" ht="29" x14ac:dyDescent="0.35">
      <c r="B12" s="1" t="s">
        <v>172</v>
      </c>
      <c r="C12" s="284"/>
      <c r="D12" s="189" t="s">
        <v>235</v>
      </c>
      <c r="E12" s="65" t="s">
        <v>265</v>
      </c>
      <c r="F12" s="77"/>
      <c r="G12" s="76" t="s">
        <v>1</v>
      </c>
      <c r="H12" s="51">
        <v>3</v>
      </c>
      <c r="I12" s="51">
        <v>3</v>
      </c>
      <c r="J12" s="51">
        <v>3</v>
      </c>
      <c r="K12" s="51">
        <v>3</v>
      </c>
      <c r="L12" s="51">
        <v>3</v>
      </c>
      <c r="M12" s="56">
        <f>SUM(H12:L12)</f>
        <v>15</v>
      </c>
      <c r="N12" s="80">
        <v>24000</v>
      </c>
      <c r="O12" s="81">
        <f t="shared" ref="O12" si="23">H12*$N12</f>
        <v>72000</v>
      </c>
      <c r="P12" s="81">
        <f t="shared" ref="P12" si="24">I12*$N12</f>
        <v>72000</v>
      </c>
      <c r="Q12" s="81">
        <f t="shared" ref="Q12" si="25">J12*$N12</f>
        <v>72000</v>
      </c>
      <c r="R12" s="81">
        <f t="shared" ref="R12" si="26">K12*$N12</f>
        <v>72000</v>
      </c>
      <c r="S12" s="81">
        <f t="shared" ref="S12" si="27">L12*$N12</f>
        <v>72000</v>
      </c>
      <c r="T12" s="82">
        <f t="shared" ref="T12" si="28">SUM(O12:S12)</f>
        <v>360000</v>
      </c>
      <c r="U12" s="155">
        <f t="shared" si="6"/>
        <v>0</v>
      </c>
      <c r="V12" s="148">
        <f t="shared" si="6"/>
        <v>0</v>
      </c>
      <c r="W12" s="148">
        <f t="shared" si="6"/>
        <v>360000</v>
      </c>
      <c r="X12" s="156">
        <f t="shared" si="6"/>
        <v>0</v>
      </c>
    </row>
    <row r="13" spans="2:24" ht="29.5" thickBot="1" x14ac:dyDescent="0.4">
      <c r="B13" s="1" t="s">
        <v>171</v>
      </c>
      <c r="C13" s="285"/>
      <c r="D13" s="67" t="s">
        <v>59</v>
      </c>
      <c r="E13" s="65" t="s">
        <v>265</v>
      </c>
      <c r="F13" s="68"/>
      <c r="G13" s="67" t="s">
        <v>1</v>
      </c>
      <c r="H13" s="52">
        <v>3</v>
      </c>
      <c r="I13" s="52">
        <v>3</v>
      </c>
      <c r="J13" s="52">
        <v>3</v>
      </c>
      <c r="K13" s="52">
        <v>3</v>
      </c>
      <c r="L13" s="52">
        <v>3</v>
      </c>
      <c r="M13" s="57">
        <f>SUM(H13:L13)</f>
        <v>15</v>
      </c>
      <c r="N13" s="64">
        <v>60000</v>
      </c>
      <c r="O13" s="49">
        <f t="shared" si="9"/>
        <v>180000</v>
      </c>
      <c r="P13" s="49">
        <f t="shared" si="9"/>
        <v>180000</v>
      </c>
      <c r="Q13" s="49">
        <f t="shared" si="9"/>
        <v>180000</v>
      </c>
      <c r="R13" s="49">
        <f t="shared" si="9"/>
        <v>180000</v>
      </c>
      <c r="S13" s="49">
        <f t="shared" si="9"/>
        <v>180000</v>
      </c>
      <c r="T13" s="60">
        <f t="shared" si="5"/>
        <v>900000</v>
      </c>
      <c r="U13" s="157">
        <f t="shared" si="6"/>
        <v>0</v>
      </c>
      <c r="V13" s="158">
        <f t="shared" si="6"/>
        <v>0</v>
      </c>
      <c r="W13" s="158">
        <f t="shared" si="6"/>
        <v>900000</v>
      </c>
      <c r="X13" s="159">
        <f t="shared" si="6"/>
        <v>0</v>
      </c>
    </row>
    <row r="14" spans="2:24" ht="15" thickBot="1" x14ac:dyDescent="0.4">
      <c r="C14" s="16"/>
      <c r="D14" s="9"/>
      <c r="E14" s="9"/>
      <c r="F14" s="9"/>
      <c r="G14" s="9"/>
      <c r="H14" s="9"/>
      <c r="I14" s="9"/>
      <c r="J14" s="5"/>
      <c r="K14" s="5"/>
      <c r="L14" s="5"/>
      <c r="M14" s="5"/>
      <c r="N14" s="4"/>
      <c r="O14" s="39"/>
      <c r="P14" s="39"/>
      <c r="Q14" s="40"/>
      <c r="R14" s="40"/>
      <c r="S14" s="40"/>
      <c r="T14" s="41"/>
      <c r="U14" s="41"/>
      <c r="V14" s="41"/>
      <c r="W14" s="41"/>
      <c r="X14" s="41"/>
    </row>
    <row r="15" spans="2:24" s="45" customFormat="1" ht="15" thickBot="1" x14ac:dyDescent="0.4">
      <c r="C15" s="47"/>
      <c r="D15" s="46"/>
      <c r="E15" s="46"/>
      <c r="F15" s="46"/>
      <c r="G15" s="46"/>
      <c r="H15" s="46"/>
      <c r="I15" s="46"/>
      <c r="J15" s="46"/>
      <c r="K15" s="46"/>
      <c r="L15" s="87"/>
      <c r="M15" s="88"/>
      <c r="N15" s="89" t="s">
        <v>96</v>
      </c>
      <c r="O15" s="83">
        <f>SUM(O3:O13)</f>
        <v>557000</v>
      </c>
      <c r="P15" s="83">
        <f t="shared" ref="P15:S15" si="29">SUM(P3:P13)</f>
        <v>764000</v>
      </c>
      <c r="Q15" s="83">
        <f t="shared" si="29"/>
        <v>348000</v>
      </c>
      <c r="R15" s="83">
        <f t="shared" si="29"/>
        <v>252000</v>
      </c>
      <c r="S15" s="83">
        <f t="shared" si="29"/>
        <v>252000</v>
      </c>
      <c r="T15" s="61">
        <f>SUM(O15:S15)</f>
        <v>2173000</v>
      </c>
      <c r="U15" s="147">
        <f>SUM(U3:U13)</f>
        <v>0</v>
      </c>
      <c r="V15" s="147">
        <f t="shared" ref="V15:X15" si="30">SUM(V3:V13)</f>
        <v>0</v>
      </c>
      <c r="W15" s="147">
        <f t="shared" si="30"/>
        <v>2173000</v>
      </c>
      <c r="X15" s="147">
        <f t="shared" si="30"/>
        <v>0</v>
      </c>
    </row>
    <row r="16" spans="2:24" s="2" customFormat="1" x14ac:dyDescent="0.35">
      <c r="C16" s="16"/>
      <c r="D16" s="9"/>
      <c r="E16" s="9"/>
      <c r="F16" s="9"/>
      <c r="G16" s="9"/>
      <c r="H16" s="9"/>
      <c r="I16" s="9"/>
      <c r="J16" s="5"/>
      <c r="K16" s="5"/>
      <c r="L16" s="5"/>
      <c r="M16" s="5"/>
      <c r="N16" s="4"/>
      <c r="O16" s="41"/>
      <c r="P16" s="41"/>
      <c r="Q16" s="41"/>
      <c r="R16" s="41"/>
      <c r="S16" s="41"/>
      <c r="T16" s="42"/>
      <c r="U16" s="42"/>
      <c r="V16" s="42"/>
      <c r="W16" s="42"/>
      <c r="X16" s="42"/>
    </row>
    <row r="18" spans="2:24" ht="15" thickBot="1" x14ac:dyDescent="0.4">
      <c r="H18" s="53" t="s">
        <v>87</v>
      </c>
      <c r="I18" s="50"/>
      <c r="J18" s="50"/>
      <c r="K18" s="50"/>
      <c r="L18" s="50"/>
      <c r="M18" s="54"/>
      <c r="N18" s="55"/>
      <c r="O18" s="58" t="s">
        <v>86</v>
      </c>
      <c r="P18" s="58" t="s">
        <v>86</v>
      </c>
      <c r="Q18" s="58" t="s">
        <v>86</v>
      </c>
      <c r="R18" s="58" t="s">
        <v>86</v>
      </c>
      <c r="S18" s="58" t="s">
        <v>86</v>
      </c>
      <c r="T18" s="58" t="s">
        <v>86</v>
      </c>
      <c r="U18" s="146" t="s">
        <v>85</v>
      </c>
      <c r="V18" s="146" t="s">
        <v>264</v>
      </c>
      <c r="W18" s="146" t="s">
        <v>265</v>
      </c>
      <c r="X18" s="146" t="s">
        <v>108</v>
      </c>
    </row>
    <row r="19" spans="2:24" s="71" customFormat="1" ht="43.5" x14ac:dyDescent="0.35">
      <c r="C19" s="75" t="s">
        <v>91</v>
      </c>
      <c r="D19" s="74" t="s">
        <v>7</v>
      </c>
      <c r="E19" s="74" t="s">
        <v>88</v>
      </c>
      <c r="F19" s="74" t="s">
        <v>89</v>
      </c>
      <c r="G19" s="74" t="s">
        <v>26</v>
      </c>
      <c r="H19" s="72">
        <v>2021</v>
      </c>
      <c r="I19" s="72">
        <v>2022</v>
      </c>
      <c r="J19" s="72">
        <v>2023</v>
      </c>
      <c r="K19" s="72">
        <v>2024</v>
      </c>
      <c r="L19" s="72">
        <v>2025</v>
      </c>
      <c r="M19" s="69" t="s">
        <v>36</v>
      </c>
      <c r="N19" s="62" t="s">
        <v>37</v>
      </c>
      <c r="O19" s="73" t="s">
        <v>64</v>
      </c>
      <c r="P19" s="73" t="s">
        <v>39</v>
      </c>
      <c r="Q19" s="73" t="s">
        <v>65</v>
      </c>
      <c r="R19" s="73" t="s">
        <v>66</v>
      </c>
      <c r="S19" s="120" t="s">
        <v>67</v>
      </c>
      <c r="T19" s="70" t="s">
        <v>4</v>
      </c>
      <c r="U19" s="153"/>
      <c r="V19" s="145"/>
      <c r="W19" s="145"/>
      <c r="X19" s="154"/>
    </row>
    <row r="20" spans="2:24" s="45" customFormat="1" x14ac:dyDescent="0.35">
      <c r="B20" s="171" t="s">
        <v>164</v>
      </c>
      <c r="C20" s="286" t="s">
        <v>16</v>
      </c>
      <c r="D20" s="65" t="s">
        <v>73</v>
      </c>
      <c r="E20" s="65" t="s">
        <v>265</v>
      </c>
      <c r="F20" s="66">
        <v>10</v>
      </c>
      <c r="G20" s="65" t="s">
        <v>27</v>
      </c>
      <c r="H20" s="132">
        <v>4</v>
      </c>
      <c r="I20" s="132"/>
      <c r="J20" s="132"/>
      <c r="K20" s="132"/>
      <c r="L20" s="132"/>
      <c r="M20" s="56">
        <f>SUM(H20:K20)</f>
        <v>4</v>
      </c>
      <c r="N20" s="63">
        <v>60000</v>
      </c>
      <c r="O20" s="48">
        <f>H20*$N20</f>
        <v>240000</v>
      </c>
      <c r="P20" s="48">
        <f>I20*$N20</f>
        <v>0</v>
      </c>
      <c r="Q20" s="48">
        <f>J20*$N20</f>
        <v>0</v>
      </c>
      <c r="R20" s="48">
        <f>K20*$N20</f>
        <v>0</v>
      </c>
      <c r="S20" s="121">
        <f>L20*$N20</f>
        <v>0</v>
      </c>
      <c r="T20" s="59">
        <f>SUM(O20:S20)</f>
        <v>240000</v>
      </c>
      <c r="U20" s="155">
        <f t="shared" ref="U20:V35" si="31">IF($E20=U$18,$T20,0)</f>
        <v>0</v>
      </c>
      <c r="V20" s="148">
        <f t="shared" si="31"/>
        <v>0</v>
      </c>
      <c r="W20" s="148">
        <f t="shared" ref="W20:X20" si="32">IF($E20=W$18,$T20,0)</f>
        <v>240000</v>
      </c>
      <c r="X20" s="156">
        <f t="shared" si="32"/>
        <v>0</v>
      </c>
    </row>
    <row r="21" spans="2:24" s="45" customFormat="1" x14ac:dyDescent="0.35">
      <c r="B21" s="171" t="s">
        <v>164</v>
      </c>
      <c r="C21" s="286"/>
      <c r="D21" s="65" t="s">
        <v>79</v>
      </c>
      <c r="E21" s="65" t="s">
        <v>108</v>
      </c>
      <c r="F21" s="66"/>
      <c r="G21" s="65" t="s">
        <v>6</v>
      </c>
      <c r="H21" s="132"/>
      <c r="I21" s="132"/>
      <c r="J21" s="132"/>
      <c r="K21" s="132"/>
      <c r="L21" s="132"/>
      <c r="M21" s="56">
        <f>SUM(H21:K21)</f>
        <v>0</v>
      </c>
      <c r="N21" s="63">
        <v>500000</v>
      </c>
      <c r="O21" s="48">
        <f t="shared" ref="O21:S35" si="33">H21*$N21</f>
        <v>0</v>
      </c>
      <c r="P21" s="48">
        <f t="shared" si="33"/>
        <v>0</v>
      </c>
      <c r="Q21" s="48">
        <f t="shared" si="33"/>
        <v>0</v>
      </c>
      <c r="R21" s="48">
        <f t="shared" si="33"/>
        <v>0</v>
      </c>
      <c r="S21" s="121">
        <f t="shared" si="33"/>
        <v>0</v>
      </c>
      <c r="T21" s="59">
        <f t="shared" ref="T21:T35" si="34">SUM(O21:S21)</f>
        <v>0</v>
      </c>
      <c r="U21" s="155">
        <f t="shared" si="31"/>
        <v>0</v>
      </c>
      <c r="V21" s="148">
        <f t="shared" si="31"/>
        <v>0</v>
      </c>
      <c r="W21" s="148">
        <f t="shared" ref="W21:X35" si="35">IF($E21=W$18,$T21,0)</f>
        <v>0</v>
      </c>
      <c r="X21" s="156">
        <f t="shared" si="35"/>
        <v>0</v>
      </c>
    </row>
    <row r="22" spans="2:24" s="45" customFormat="1" x14ac:dyDescent="0.35">
      <c r="B22" s="171" t="s">
        <v>164</v>
      </c>
      <c r="C22" s="286"/>
      <c r="D22" s="65" t="s">
        <v>76</v>
      </c>
      <c r="E22" s="65" t="s">
        <v>265</v>
      </c>
      <c r="F22" s="66">
        <v>10</v>
      </c>
      <c r="G22" s="65" t="s">
        <v>27</v>
      </c>
      <c r="H22" s="132">
        <v>10</v>
      </c>
      <c r="I22" s="132">
        <v>10</v>
      </c>
      <c r="J22" s="132"/>
      <c r="K22" s="132"/>
      <c r="L22" s="132"/>
      <c r="M22" s="56">
        <f>SUM(H22:L22)</f>
        <v>20</v>
      </c>
      <c r="N22" s="63">
        <v>15000</v>
      </c>
      <c r="O22" s="48">
        <f t="shared" si="33"/>
        <v>150000</v>
      </c>
      <c r="P22" s="48">
        <f t="shared" si="33"/>
        <v>150000</v>
      </c>
      <c r="Q22" s="48">
        <f t="shared" si="33"/>
        <v>0</v>
      </c>
      <c r="R22" s="48">
        <f t="shared" si="33"/>
        <v>0</v>
      </c>
      <c r="S22" s="121">
        <f t="shared" si="33"/>
        <v>0</v>
      </c>
      <c r="T22" s="59">
        <f t="shared" si="34"/>
        <v>300000</v>
      </c>
      <c r="U22" s="155">
        <f t="shared" si="31"/>
        <v>0</v>
      </c>
      <c r="V22" s="148">
        <f t="shared" si="31"/>
        <v>0</v>
      </c>
      <c r="W22" s="148">
        <f t="shared" si="35"/>
        <v>300000</v>
      </c>
      <c r="X22" s="156">
        <f t="shared" si="35"/>
        <v>0</v>
      </c>
    </row>
    <row r="23" spans="2:24" s="45" customFormat="1" x14ac:dyDescent="0.35">
      <c r="B23" s="171" t="s">
        <v>164</v>
      </c>
      <c r="C23" s="286"/>
      <c r="D23" s="65" t="s">
        <v>124</v>
      </c>
      <c r="E23" s="65" t="s">
        <v>265</v>
      </c>
      <c r="F23" s="66">
        <v>10</v>
      </c>
      <c r="G23" s="65" t="s">
        <v>27</v>
      </c>
      <c r="H23" s="51">
        <v>25</v>
      </c>
      <c r="I23" s="51">
        <v>25</v>
      </c>
      <c r="J23" s="51">
        <v>25</v>
      </c>
      <c r="K23" s="51"/>
      <c r="L23" s="51"/>
      <c r="M23" s="56">
        <f t="shared" ref="M23:M27" si="36">SUM(H23:L23)</f>
        <v>75</v>
      </c>
      <c r="N23" s="63">
        <v>500</v>
      </c>
      <c r="O23" s="48">
        <f t="shared" si="33"/>
        <v>12500</v>
      </c>
      <c r="P23" s="48">
        <f t="shared" si="33"/>
        <v>12500</v>
      </c>
      <c r="Q23" s="48">
        <f t="shared" si="33"/>
        <v>12500</v>
      </c>
      <c r="R23" s="48">
        <f t="shared" si="33"/>
        <v>0</v>
      </c>
      <c r="S23" s="121">
        <f t="shared" si="33"/>
        <v>0</v>
      </c>
      <c r="T23" s="140">
        <f t="shared" si="34"/>
        <v>37500</v>
      </c>
      <c r="U23" s="155">
        <f t="shared" si="31"/>
        <v>0</v>
      </c>
      <c r="V23" s="148">
        <f t="shared" si="31"/>
        <v>0</v>
      </c>
      <c r="W23" s="148">
        <f t="shared" si="35"/>
        <v>37500</v>
      </c>
      <c r="X23" s="156">
        <f t="shared" si="35"/>
        <v>0</v>
      </c>
    </row>
    <row r="24" spans="2:24" s="45" customFormat="1" x14ac:dyDescent="0.35">
      <c r="B24" s="171" t="s">
        <v>164</v>
      </c>
      <c r="C24" s="286"/>
      <c r="D24" s="65" t="s">
        <v>125</v>
      </c>
      <c r="E24" s="65" t="s">
        <v>265</v>
      </c>
      <c r="F24" s="66">
        <v>10</v>
      </c>
      <c r="G24" s="65" t="s">
        <v>27</v>
      </c>
      <c r="H24" s="51">
        <v>5</v>
      </c>
      <c r="I24" s="51">
        <v>5</v>
      </c>
      <c r="J24" s="51">
        <v>5</v>
      </c>
      <c r="K24" s="51"/>
      <c r="L24" s="51"/>
      <c r="M24" s="56">
        <f t="shared" si="36"/>
        <v>15</v>
      </c>
      <c r="N24" s="63">
        <v>5000</v>
      </c>
      <c r="O24" s="48">
        <f t="shared" si="33"/>
        <v>25000</v>
      </c>
      <c r="P24" s="48">
        <f t="shared" si="33"/>
        <v>25000</v>
      </c>
      <c r="Q24" s="48">
        <f t="shared" si="33"/>
        <v>25000</v>
      </c>
      <c r="R24" s="48">
        <f t="shared" si="33"/>
        <v>0</v>
      </c>
      <c r="S24" s="121">
        <f t="shared" si="33"/>
        <v>0</v>
      </c>
      <c r="T24" s="140">
        <f t="shared" si="34"/>
        <v>75000</v>
      </c>
      <c r="U24" s="155">
        <f t="shared" si="31"/>
        <v>0</v>
      </c>
      <c r="V24" s="148">
        <f t="shared" si="31"/>
        <v>0</v>
      </c>
      <c r="W24" s="148">
        <f t="shared" si="35"/>
        <v>75000</v>
      </c>
      <c r="X24" s="156">
        <f t="shared" si="35"/>
        <v>0</v>
      </c>
    </row>
    <row r="25" spans="2:24" s="45" customFormat="1" x14ac:dyDescent="0.35">
      <c r="B25" s="171" t="s">
        <v>164</v>
      </c>
      <c r="C25" s="286"/>
      <c r="D25" s="65" t="s">
        <v>126</v>
      </c>
      <c r="E25" s="65" t="s">
        <v>265</v>
      </c>
      <c r="F25" s="66">
        <v>10</v>
      </c>
      <c r="G25" s="65" t="s">
        <v>27</v>
      </c>
      <c r="H25" s="51">
        <v>1</v>
      </c>
      <c r="I25" s="51">
        <v>0</v>
      </c>
      <c r="J25" s="51"/>
      <c r="K25" s="51"/>
      <c r="L25" s="51"/>
      <c r="M25" s="56">
        <f t="shared" si="36"/>
        <v>1</v>
      </c>
      <c r="N25" s="63">
        <v>50000</v>
      </c>
      <c r="O25" s="48">
        <f t="shared" si="33"/>
        <v>50000</v>
      </c>
      <c r="P25" s="48">
        <f t="shared" si="33"/>
        <v>0</v>
      </c>
      <c r="Q25" s="48">
        <f t="shared" si="33"/>
        <v>0</v>
      </c>
      <c r="R25" s="48">
        <f t="shared" si="33"/>
        <v>0</v>
      </c>
      <c r="S25" s="121">
        <f t="shared" si="33"/>
        <v>0</v>
      </c>
      <c r="T25" s="140">
        <f t="shared" si="34"/>
        <v>50000</v>
      </c>
      <c r="U25" s="155">
        <f t="shared" si="31"/>
        <v>0</v>
      </c>
      <c r="V25" s="148">
        <f t="shared" si="31"/>
        <v>0</v>
      </c>
      <c r="W25" s="148">
        <f t="shared" si="35"/>
        <v>50000</v>
      </c>
      <c r="X25" s="156">
        <f t="shared" si="35"/>
        <v>0</v>
      </c>
    </row>
    <row r="26" spans="2:24" s="45" customFormat="1" x14ac:dyDescent="0.35">
      <c r="B26" s="171" t="s">
        <v>164</v>
      </c>
      <c r="C26" s="286"/>
      <c r="D26" s="65" t="s">
        <v>127</v>
      </c>
      <c r="E26" s="65" t="s">
        <v>265</v>
      </c>
      <c r="F26" s="66">
        <v>10</v>
      </c>
      <c r="G26" s="65" t="s">
        <v>27</v>
      </c>
      <c r="H26" s="51"/>
      <c r="I26" s="51">
        <v>1</v>
      </c>
      <c r="J26" s="51"/>
      <c r="K26" s="51"/>
      <c r="L26" s="51"/>
      <c r="M26" s="56">
        <f t="shared" si="36"/>
        <v>1</v>
      </c>
      <c r="N26" s="63">
        <v>6000</v>
      </c>
      <c r="O26" s="48">
        <f t="shared" si="33"/>
        <v>0</v>
      </c>
      <c r="P26" s="48">
        <f t="shared" si="33"/>
        <v>6000</v>
      </c>
      <c r="Q26" s="48">
        <f t="shared" si="33"/>
        <v>0</v>
      </c>
      <c r="R26" s="48">
        <f t="shared" si="33"/>
        <v>0</v>
      </c>
      <c r="S26" s="121">
        <f t="shared" si="33"/>
        <v>0</v>
      </c>
      <c r="T26" s="140">
        <f t="shared" si="34"/>
        <v>6000</v>
      </c>
      <c r="U26" s="155">
        <f t="shared" si="31"/>
        <v>0</v>
      </c>
      <c r="V26" s="148">
        <f t="shared" si="31"/>
        <v>0</v>
      </c>
      <c r="W26" s="148">
        <f t="shared" si="35"/>
        <v>6000</v>
      </c>
      <c r="X26" s="156">
        <f t="shared" si="35"/>
        <v>0</v>
      </c>
    </row>
    <row r="27" spans="2:24" s="45" customFormat="1" x14ac:dyDescent="0.35">
      <c r="B27" s="171" t="s">
        <v>164</v>
      </c>
      <c r="C27" s="286"/>
      <c r="D27" s="65" t="s">
        <v>128</v>
      </c>
      <c r="E27" s="65" t="s">
        <v>265</v>
      </c>
      <c r="F27" s="66">
        <v>10</v>
      </c>
      <c r="G27" s="65" t="s">
        <v>27</v>
      </c>
      <c r="H27" s="51">
        <v>1</v>
      </c>
      <c r="I27" s="51"/>
      <c r="J27" s="51"/>
      <c r="K27" s="51"/>
      <c r="L27" s="51"/>
      <c r="M27" s="56">
        <f t="shared" si="36"/>
        <v>1</v>
      </c>
      <c r="N27" s="63">
        <v>20000</v>
      </c>
      <c r="O27" s="48">
        <f t="shared" si="33"/>
        <v>20000</v>
      </c>
      <c r="P27" s="48">
        <f t="shared" si="33"/>
        <v>0</v>
      </c>
      <c r="Q27" s="48">
        <f t="shared" si="33"/>
        <v>0</v>
      </c>
      <c r="R27" s="48">
        <f t="shared" si="33"/>
        <v>0</v>
      </c>
      <c r="S27" s="121">
        <f t="shared" si="33"/>
        <v>0</v>
      </c>
      <c r="T27" s="140">
        <f t="shared" si="34"/>
        <v>20000</v>
      </c>
      <c r="U27" s="155">
        <f t="shared" si="31"/>
        <v>0</v>
      </c>
      <c r="V27" s="148">
        <f t="shared" si="31"/>
        <v>0</v>
      </c>
      <c r="W27" s="148">
        <f t="shared" si="35"/>
        <v>20000</v>
      </c>
      <c r="X27" s="156">
        <f t="shared" si="35"/>
        <v>0</v>
      </c>
    </row>
    <row r="28" spans="2:24" s="45" customFormat="1" x14ac:dyDescent="0.35">
      <c r="B28" s="171" t="s">
        <v>164</v>
      </c>
      <c r="C28" s="286"/>
      <c r="D28" s="186" t="s">
        <v>130</v>
      </c>
      <c r="E28" s="65" t="s">
        <v>265</v>
      </c>
      <c r="F28" s="66">
        <v>10</v>
      </c>
      <c r="G28" s="65" t="s">
        <v>27</v>
      </c>
      <c r="H28" s="51">
        <v>1</v>
      </c>
      <c r="I28" s="51">
        <v>1</v>
      </c>
      <c r="J28" s="51"/>
      <c r="K28" s="51"/>
      <c r="L28" s="51"/>
      <c r="M28" s="56">
        <f>SUM(H28:L28)</f>
        <v>2</v>
      </c>
      <c r="N28" s="63">
        <v>20000</v>
      </c>
      <c r="O28" s="48">
        <f t="shared" si="33"/>
        <v>20000</v>
      </c>
      <c r="P28" s="48">
        <f t="shared" si="33"/>
        <v>20000</v>
      </c>
      <c r="Q28" s="48">
        <f t="shared" si="33"/>
        <v>0</v>
      </c>
      <c r="R28" s="48">
        <f t="shared" si="33"/>
        <v>0</v>
      </c>
      <c r="S28" s="121">
        <f t="shared" si="33"/>
        <v>0</v>
      </c>
      <c r="T28" s="140">
        <f t="shared" si="34"/>
        <v>40000</v>
      </c>
      <c r="U28" s="155">
        <f t="shared" si="31"/>
        <v>0</v>
      </c>
      <c r="V28" s="148">
        <f t="shared" si="31"/>
        <v>0</v>
      </c>
      <c r="W28" s="148">
        <f t="shared" si="35"/>
        <v>40000</v>
      </c>
      <c r="X28" s="156">
        <f t="shared" si="35"/>
        <v>0</v>
      </c>
    </row>
    <row r="29" spans="2:24" s="45" customFormat="1" x14ac:dyDescent="0.35">
      <c r="B29" s="171" t="s">
        <v>164</v>
      </c>
      <c r="C29" s="286"/>
      <c r="D29" s="65" t="s">
        <v>236</v>
      </c>
      <c r="E29" s="65" t="s">
        <v>265</v>
      </c>
      <c r="F29" s="66">
        <v>10</v>
      </c>
      <c r="G29" s="65" t="s">
        <v>27</v>
      </c>
      <c r="H29" s="51"/>
      <c r="I29" s="51">
        <v>1</v>
      </c>
      <c r="J29" s="51"/>
      <c r="K29" s="51"/>
      <c r="L29" s="51"/>
      <c r="M29" s="56">
        <f>SUM(H29:L29)</f>
        <v>1</v>
      </c>
      <c r="N29" s="63">
        <v>10000</v>
      </c>
      <c r="O29" s="48">
        <f t="shared" si="33"/>
        <v>0</v>
      </c>
      <c r="P29" s="48">
        <f t="shared" si="33"/>
        <v>10000</v>
      </c>
      <c r="Q29" s="48">
        <f>J29*$N29</f>
        <v>0</v>
      </c>
      <c r="R29" s="48">
        <f t="shared" si="33"/>
        <v>0</v>
      </c>
      <c r="S29" s="121">
        <f t="shared" si="33"/>
        <v>0</v>
      </c>
      <c r="T29" s="140">
        <f t="shared" si="34"/>
        <v>10000</v>
      </c>
      <c r="U29" s="155">
        <f t="shared" si="31"/>
        <v>0</v>
      </c>
      <c r="V29" s="148">
        <f t="shared" si="31"/>
        <v>0</v>
      </c>
      <c r="W29" s="148">
        <f t="shared" si="35"/>
        <v>10000</v>
      </c>
      <c r="X29" s="156">
        <f t="shared" si="35"/>
        <v>0</v>
      </c>
    </row>
    <row r="30" spans="2:24" s="45" customFormat="1" ht="29" x14ac:dyDescent="0.35">
      <c r="B30" s="171" t="s">
        <v>164</v>
      </c>
      <c r="C30" s="286"/>
      <c r="D30" s="65" t="s">
        <v>78</v>
      </c>
      <c r="E30" s="65" t="s">
        <v>265</v>
      </c>
      <c r="F30" s="66">
        <v>5</v>
      </c>
      <c r="G30" s="65" t="s">
        <v>27</v>
      </c>
      <c r="H30" s="132">
        <v>1</v>
      </c>
      <c r="I30" s="132">
        <v>2</v>
      </c>
      <c r="J30" s="132"/>
      <c r="K30" s="132"/>
      <c r="L30" s="132"/>
      <c r="M30" s="56">
        <f t="shared" ref="M30:M35" si="37">SUM(H30:K30)</f>
        <v>3</v>
      </c>
      <c r="N30" s="63">
        <v>36000</v>
      </c>
      <c r="O30" s="48">
        <f t="shared" si="33"/>
        <v>36000</v>
      </c>
      <c r="P30" s="48">
        <f t="shared" si="33"/>
        <v>72000</v>
      </c>
      <c r="Q30" s="48">
        <f t="shared" si="33"/>
        <v>0</v>
      </c>
      <c r="R30" s="48">
        <f t="shared" si="33"/>
        <v>0</v>
      </c>
      <c r="S30" s="121">
        <f t="shared" si="33"/>
        <v>0</v>
      </c>
      <c r="T30" s="59">
        <f t="shared" si="34"/>
        <v>108000</v>
      </c>
      <c r="U30" s="155">
        <f t="shared" si="31"/>
        <v>0</v>
      </c>
      <c r="V30" s="148">
        <f t="shared" si="31"/>
        <v>0</v>
      </c>
      <c r="W30" s="148">
        <f t="shared" si="35"/>
        <v>108000</v>
      </c>
      <c r="X30" s="156">
        <f t="shared" si="35"/>
        <v>0</v>
      </c>
    </row>
    <row r="31" spans="2:24" s="45" customFormat="1" x14ac:dyDescent="0.35">
      <c r="B31" s="171" t="s">
        <v>164</v>
      </c>
      <c r="C31" s="286"/>
      <c r="D31" s="188" t="s">
        <v>243</v>
      </c>
      <c r="E31" s="65" t="s">
        <v>265</v>
      </c>
      <c r="F31" s="66"/>
      <c r="G31" s="65" t="s">
        <v>27</v>
      </c>
      <c r="H31" s="132"/>
      <c r="I31" s="132">
        <v>2</v>
      </c>
      <c r="J31" s="132">
        <v>0</v>
      </c>
      <c r="K31" s="132"/>
      <c r="L31" s="132"/>
      <c r="M31" s="56">
        <f t="shared" si="37"/>
        <v>2</v>
      </c>
      <c r="N31" s="63">
        <v>36000</v>
      </c>
      <c r="O31" s="48">
        <f t="shared" si="33"/>
        <v>0</v>
      </c>
      <c r="P31" s="48">
        <f t="shared" si="33"/>
        <v>72000</v>
      </c>
      <c r="Q31" s="48">
        <f t="shared" si="33"/>
        <v>0</v>
      </c>
      <c r="R31" s="48">
        <f t="shared" si="33"/>
        <v>0</v>
      </c>
      <c r="S31" s="121">
        <f t="shared" si="33"/>
        <v>0</v>
      </c>
      <c r="T31" s="59">
        <f t="shared" si="34"/>
        <v>72000</v>
      </c>
      <c r="U31" s="155">
        <f t="shared" si="31"/>
        <v>0</v>
      </c>
      <c r="V31" s="148">
        <f t="shared" si="31"/>
        <v>0</v>
      </c>
      <c r="W31" s="148">
        <f t="shared" si="35"/>
        <v>72000</v>
      </c>
      <c r="X31" s="156">
        <f t="shared" si="35"/>
        <v>0</v>
      </c>
    </row>
    <row r="32" spans="2:24" s="45" customFormat="1" x14ac:dyDescent="0.35">
      <c r="B32" s="171" t="s">
        <v>164</v>
      </c>
      <c r="C32" s="286"/>
      <c r="D32" s="65" t="s">
        <v>74</v>
      </c>
      <c r="E32" s="65" t="s">
        <v>265</v>
      </c>
      <c r="F32" s="66">
        <v>10</v>
      </c>
      <c r="G32" s="65" t="s">
        <v>27</v>
      </c>
      <c r="H32" s="132"/>
      <c r="I32" s="132">
        <v>1</v>
      </c>
      <c r="J32" s="132"/>
      <c r="K32" s="132"/>
      <c r="L32" s="132"/>
      <c r="M32" s="56">
        <f>SUM(H32:L32)</f>
        <v>1</v>
      </c>
      <c r="N32" s="63">
        <v>36000</v>
      </c>
      <c r="O32" s="48">
        <f t="shared" si="33"/>
        <v>0</v>
      </c>
      <c r="P32" s="48">
        <f t="shared" si="33"/>
        <v>36000</v>
      </c>
      <c r="Q32" s="48">
        <f t="shared" si="33"/>
        <v>0</v>
      </c>
      <c r="R32" s="48">
        <f t="shared" si="33"/>
        <v>0</v>
      </c>
      <c r="S32" s="121">
        <f t="shared" si="33"/>
        <v>0</v>
      </c>
      <c r="T32" s="59">
        <f t="shared" si="34"/>
        <v>36000</v>
      </c>
      <c r="U32" s="155">
        <f t="shared" si="31"/>
        <v>0</v>
      </c>
      <c r="V32" s="148">
        <f t="shared" si="31"/>
        <v>0</v>
      </c>
      <c r="W32" s="148">
        <f t="shared" si="35"/>
        <v>36000</v>
      </c>
      <c r="X32" s="156">
        <f t="shared" si="35"/>
        <v>0</v>
      </c>
    </row>
    <row r="33" spans="2:24" s="45" customFormat="1" ht="29" x14ac:dyDescent="0.35">
      <c r="B33" s="171" t="s">
        <v>164</v>
      </c>
      <c r="C33" s="286"/>
      <c r="D33" s="65" t="s">
        <v>72</v>
      </c>
      <c r="E33" s="65" t="s">
        <v>265</v>
      </c>
      <c r="F33" s="66">
        <v>15</v>
      </c>
      <c r="G33" s="65" t="s">
        <v>27</v>
      </c>
      <c r="H33" s="132"/>
      <c r="I33" s="132">
        <v>1</v>
      </c>
      <c r="J33" s="132">
        <v>2</v>
      </c>
      <c r="K33" s="132"/>
      <c r="L33" s="132"/>
      <c r="M33" s="56">
        <f t="shared" si="37"/>
        <v>3</v>
      </c>
      <c r="N33" s="63">
        <v>240000</v>
      </c>
      <c r="O33" s="48">
        <f t="shared" si="33"/>
        <v>0</v>
      </c>
      <c r="P33" s="48">
        <f t="shared" si="33"/>
        <v>240000</v>
      </c>
      <c r="Q33" s="48">
        <f t="shared" si="33"/>
        <v>480000</v>
      </c>
      <c r="R33" s="48">
        <f t="shared" si="33"/>
        <v>0</v>
      </c>
      <c r="S33" s="121">
        <f t="shared" si="33"/>
        <v>0</v>
      </c>
      <c r="T33" s="59">
        <f t="shared" si="34"/>
        <v>720000</v>
      </c>
      <c r="U33" s="155">
        <f t="shared" si="31"/>
        <v>0</v>
      </c>
      <c r="V33" s="148">
        <f t="shared" si="31"/>
        <v>0</v>
      </c>
      <c r="W33" s="148">
        <f t="shared" si="35"/>
        <v>720000</v>
      </c>
      <c r="X33" s="156">
        <f t="shared" si="35"/>
        <v>0</v>
      </c>
    </row>
    <row r="34" spans="2:24" s="45" customFormat="1" x14ac:dyDescent="0.35">
      <c r="B34" s="171" t="s">
        <v>164</v>
      </c>
      <c r="C34" s="286"/>
      <c r="D34" s="65" t="s">
        <v>109</v>
      </c>
      <c r="E34" s="65" t="s">
        <v>265</v>
      </c>
      <c r="F34" s="66">
        <v>20</v>
      </c>
      <c r="G34" s="65" t="s">
        <v>27</v>
      </c>
      <c r="H34" s="132"/>
      <c r="I34" s="132">
        <v>1</v>
      </c>
      <c r="J34" s="132"/>
      <c r="K34" s="132"/>
      <c r="L34" s="132"/>
      <c r="M34" s="56">
        <f t="shared" si="37"/>
        <v>1</v>
      </c>
      <c r="N34" s="63">
        <v>2500000</v>
      </c>
      <c r="O34" s="48">
        <f t="shared" si="33"/>
        <v>0</v>
      </c>
      <c r="P34" s="48">
        <f t="shared" si="33"/>
        <v>2500000</v>
      </c>
      <c r="Q34" s="48">
        <f t="shared" si="33"/>
        <v>0</v>
      </c>
      <c r="R34" s="48">
        <f t="shared" si="33"/>
        <v>0</v>
      </c>
      <c r="S34" s="121">
        <f t="shared" si="33"/>
        <v>0</v>
      </c>
      <c r="T34" s="59">
        <f t="shared" si="34"/>
        <v>2500000</v>
      </c>
      <c r="U34" s="155">
        <f t="shared" si="31"/>
        <v>0</v>
      </c>
      <c r="V34" s="148">
        <f t="shared" si="31"/>
        <v>0</v>
      </c>
      <c r="W34" s="148">
        <f t="shared" si="35"/>
        <v>2500000</v>
      </c>
      <c r="X34" s="156">
        <f t="shared" si="35"/>
        <v>0</v>
      </c>
    </row>
    <row r="35" spans="2:24" s="45" customFormat="1" ht="15" thickBot="1" x14ac:dyDescent="0.4">
      <c r="B35" s="171" t="s">
        <v>164</v>
      </c>
      <c r="C35" s="287"/>
      <c r="D35" s="67" t="s">
        <v>38</v>
      </c>
      <c r="E35" s="65" t="s">
        <v>265</v>
      </c>
      <c r="F35" s="68">
        <v>30</v>
      </c>
      <c r="G35" s="67" t="s">
        <v>6</v>
      </c>
      <c r="H35" s="133">
        <f>H34</f>
        <v>0</v>
      </c>
      <c r="I35" s="133">
        <f t="shared" ref="I35:L35" si="38">I34</f>
        <v>1</v>
      </c>
      <c r="J35" s="133">
        <f t="shared" si="38"/>
        <v>0</v>
      </c>
      <c r="K35" s="133">
        <f t="shared" si="38"/>
        <v>0</v>
      </c>
      <c r="L35" s="133">
        <f t="shared" si="38"/>
        <v>0</v>
      </c>
      <c r="M35" s="57">
        <f t="shared" si="37"/>
        <v>1</v>
      </c>
      <c r="N35" s="64">
        <v>500000</v>
      </c>
      <c r="O35" s="49">
        <f t="shared" si="33"/>
        <v>0</v>
      </c>
      <c r="P35" s="49">
        <f t="shared" si="33"/>
        <v>500000</v>
      </c>
      <c r="Q35" s="49">
        <f t="shared" si="33"/>
        <v>0</v>
      </c>
      <c r="R35" s="49">
        <f t="shared" si="33"/>
        <v>0</v>
      </c>
      <c r="S35" s="122">
        <f t="shared" si="33"/>
        <v>0</v>
      </c>
      <c r="T35" s="60">
        <f t="shared" si="34"/>
        <v>500000</v>
      </c>
      <c r="U35" s="157">
        <f t="shared" si="31"/>
        <v>0</v>
      </c>
      <c r="V35" s="158">
        <f t="shared" si="31"/>
        <v>0</v>
      </c>
      <c r="W35" s="158">
        <f t="shared" si="35"/>
        <v>500000</v>
      </c>
      <c r="X35" s="159">
        <f t="shared" si="35"/>
        <v>0</v>
      </c>
    </row>
    <row r="36" spans="2:24" s="45" customFormat="1" ht="15" thickBot="1" x14ac:dyDescent="0.4">
      <c r="C36" s="46"/>
      <c r="D36" s="46"/>
      <c r="E36" s="46"/>
      <c r="F36" s="46"/>
      <c r="G36" s="46"/>
      <c r="H36" s="46"/>
      <c r="I36" s="46"/>
      <c r="J36" s="46"/>
      <c r="K36" s="46"/>
      <c r="L36" s="46"/>
      <c r="M36" s="46"/>
      <c r="N36" s="46"/>
      <c r="O36" s="46"/>
      <c r="P36" s="46"/>
      <c r="Q36" s="46"/>
      <c r="R36" s="46"/>
      <c r="S36" s="46"/>
      <c r="T36" s="46"/>
      <c r="U36" s="152"/>
      <c r="V36" s="152"/>
      <c r="W36" s="152"/>
      <c r="X36" s="152"/>
    </row>
    <row r="37" spans="2:24" s="45" customFormat="1" ht="15" thickBot="1" x14ac:dyDescent="0.4">
      <c r="C37" s="47"/>
      <c r="D37" s="46"/>
      <c r="E37" s="46"/>
      <c r="F37" s="46"/>
      <c r="G37" s="46"/>
      <c r="H37" s="46"/>
      <c r="I37" s="46"/>
      <c r="J37" s="46"/>
      <c r="K37" s="46"/>
      <c r="L37" s="87"/>
      <c r="M37" s="88"/>
      <c r="N37" s="89" t="s">
        <v>94</v>
      </c>
      <c r="O37" s="83">
        <f>SUM(O20:O35)</f>
        <v>553500</v>
      </c>
      <c r="P37" s="84">
        <f>SUM(P20:P35)</f>
        <v>3643500</v>
      </c>
      <c r="Q37" s="84">
        <f>SUM(Q20:Q35)</f>
        <v>517500</v>
      </c>
      <c r="R37" s="84">
        <f>SUM(R20:R35)</f>
        <v>0</v>
      </c>
      <c r="S37" s="85">
        <f>SUM(S20:S35)</f>
        <v>0</v>
      </c>
      <c r="T37" s="61">
        <f>SUM(O37:S37)</f>
        <v>4714500</v>
      </c>
      <c r="U37" s="147">
        <f t="shared" ref="U37:X37" si="39">SUM(U20:U35)</f>
        <v>0</v>
      </c>
      <c r="V37" s="149">
        <f t="shared" si="39"/>
        <v>0</v>
      </c>
      <c r="W37" s="149">
        <f t="shared" si="39"/>
        <v>4714500</v>
      </c>
      <c r="X37" s="150">
        <f t="shared" si="39"/>
        <v>0</v>
      </c>
    </row>
    <row r="38" spans="2:24" x14ac:dyDescent="0.35">
      <c r="C38" s="11"/>
      <c r="D38" s="2"/>
      <c r="E38" s="2"/>
      <c r="F38" s="2"/>
      <c r="G38" s="2"/>
      <c r="H38" s="2"/>
      <c r="I38" s="2"/>
      <c r="J38" s="2"/>
      <c r="K38" s="2"/>
      <c r="L38" s="2"/>
      <c r="M38" s="2"/>
      <c r="N38" s="36"/>
      <c r="O38" s="37"/>
      <c r="P38" s="37"/>
      <c r="Q38" s="37"/>
      <c r="R38" s="37"/>
      <c r="S38" s="37"/>
      <c r="T38" s="38"/>
      <c r="U38" s="38"/>
      <c r="V38" s="38"/>
      <c r="W38" s="38"/>
      <c r="X38" s="38"/>
    </row>
    <row r="39" spans="2:24" ht="15" thickBot="1" x14ac:dyDescent="0.4">
      <c r="C39" s="9"/>
      <c r="D39" s="2"/>
      <c r="E39" s="2"/>
      <c r="F39" s="2"/>
      <c r="G39" s="2"/>
      <c r="H39" s="2"/>
      <c r="I39" s="2"/>
      <c r="J39" s="2"/>
      <c r="K39" s="2"/>
      <c r="L39" s="2"/>
      <c r="M39" s="2"/>
      <c r="N39" s="36"/>
      <c r="O39" s="37"/>
      <c r="P39" s="37"/>
      <c r="Q39" s="37"/>
      <c r="R39" s="37"/>
      <c r="S39" s="37"/>
      <c r="T39" s="38"/>
      <c r="U39" s="38"/>
      <c r="V39" s="38"/>
      <c r="W39" s="38"/>
      <c r="X39" s="38"/>
    </row>
    <row r="40" spans="2:24" s="71" customFormat="1" ht="43.5" x14ac:dyDescent="0.35">
      <c r="C40" s="75" t="s">
        <v>91</v>
      </c>
      <c r="D40" s="74" t="s">
        <v>7</v>
      </c>
      <c r="E40" s="74" t="str">
        <f>E19</f>
        <v>Fin.
AFD, EU, GCF, GVNT</v>
      </c>
      <c r="F40" s="74" t="str">
        <f>F19</f>
        <v>Durée de vie (an)</v>
      </c>
      <c r="G40" s="74" t="s">
        <v>26</v>
      </c>
      <c r="H40" s="72">
        <v>2021</v>
      </c>
      <c r="I40" s="72">
        <v>2022</v>
      </c>
      <c r="J40" s="72">
        <v>2023</v>
      </c>
      <c r="K40" s="72">
        <v>2024</v>
      </c>
      <c r="L40" s="72">
        <v>2025</v>
      </c>
      <c r="M40" s="69" t="s">
        <v>36</v>
      </c>
      <c r="N40" s="62" t="s">
        <v>37</v>
      </c>
      <c r="O40" s="73" t="s">
        <v>64</v>
      </c>
      <c r="P40" s="73" t="s">
        <v>39</v>
      </c>
      <c r="Q40" s="73" t="s">
        <v>65</v>
      </c>
      <c r="R40" s="73" t="s">
        <v>66</v>
      </c>
      <c r="S40" s="73" t="s">
        <v>67</v>
      </c>
      <c r="T40" s="70" t="s">
        <v>5</v>
      </c>
      <c r="U40" s="153"/>
      <c r="V40" s="145"/>
      <c r="W40" s="145"/>
      <c r="X40" s="154"/>
    </row>
    <row r="41" spans="2:24" x14ac:dyDescent="0.35">
      <c r="B41" s="170" t="s">
        <v>165</v>
      </c>
      <c r="C41" s="288" t="s">
        <v>13</v>
      </c>
      <c r="D41" s="134" t="s">
        <v>75</v>
      </c>
      <c r="E41" s="65" t="s">
        <v>265</v>
      </c>
      <c r="F41" s="66">
        <v>10</v>
      </c>
      <c r="G41" s="65" t="s">
        <v>28</v>
      </c>
      <c r="H41" s="114">
        <v>1</v>
      </c>
      <c r="I41" s="114"/>
      <c r="J41" s="114"/>
      <c r="K41" s="114"/>
      <c r="L41" s="114"/>
      <c r="M41" s="56">
        <f>SUM(H41:L41)</f>
        <v>1</v>
      </c>
      <c r="N41" s="138">
        <v>300000</v>
      </c>
      <c r="O41" s="48">
        <f>H41*$N41</f>
        <v>300000</v>
      </c>
      <c r="P41" s="48">
        <f>I41*$N41</f>
        <v>0</v>
      </c>
      <c r="Q41" s="48">
        <f>J41*$N41</f>
        <v>0</v>
      </c>
      <c r="R41" s="48">
        <f>K41*$N41</f>
        <v>0</v>
      </c>
      <c r="S41" s="48">
        <f>L41*$N41</f>
        <v>0</v>
      </c>
      <c r="T41" s="59">
        <f>SUM(O41:S41)</f>
        <v>300000</v>
      </c>
      <c r="U41" s="155">
        <f>IF($E41=U$18,$T41,0)</f>
        <v>0</v>
      </c>
      <c r="V41" s="148">
        <f t="shared" ref="V41:X51" si="40">IF($E41=V$18,$T41,0)</f>
        <v>0</v>
      </c>
      <c r="W41" s="148">
        <f t="shared" si="40"/>
        <v>300000</v>
      </c>
      <c r="X41" s="156">
        <f t="shared" si="40"/>
        <v>0</v>
      </c>
    </row>
    <row r="42" spans="2:24" x14ac:dyDescent="0.35">
      <c r="B42" s="170" t="s">
        <v>165</v>
      </c>
      <c r="C42" s="284"/>
      <c r="D42" s="134" t="s">
        <v>80</v>
      </c>
      <c r="E42" s="65" t="s">
        <v>265</v>
      </c>
      <c r="F42" s="66">
        <v>10</v>
      </c>
      <c r="G42" s="65" t="s">
        <v>27</v>
      </c>
      <c r="H42" s="114">
        <v>0</v>
      </c>
      <c r="I42" s="114">
        <v>1</v>
      </c>
      <c r="J42" s="114"/>
      <c r="K42" s="114"/>
      <c r="L42" s="114"/>
      <c r="M42" s="56">
        <f t="shared" ref="M42:M51" si="41">SUM(H42:L42)</f>
        <v>1</v>
      </c>
      <c r="N42" s="138">
        <v>300000</v>
      </c>
      <c r="O42" s="48">
        <f t="shared" ref="O42:S51" si="42">H42*$N42</f>
        <v>0</v>
      </c>
      <c r="P42" s="48">
        <f t="shared" si="42"/>
        <v>300000</v>
      </c>
      <c r="Q42" s="48">
        <f t="shared" si="42"/>
        <v>0</v>
      </c>
      <c r="R42" s="48">
        <f t="shared" si="42"/>
        <v>0</v>
      </c>
      <c r="S42" s="48">
        <f t="shared" si="42"/>
        <v>0</v>
      </c>
      <c r="T42" s="59">
        <f t="shared" ref="T42:T51" si="43">SUM(O42:S42)</f>
        <v>300000</v>
      </c>
      <c r="U42" s="155">
        <f t="shared" ref="U42:U51" si="44">IF($E42=U$18,$T42,0)</f>
        <v>0</v>
      </c>
      <c r="V42" s="148">
        <f t="shared" si="40"/>
        <v>0</v>
      </c>
      <c r="W42" s="148">
        <f t="shared" si="40"/>
        <v>300000</v>
      </c>
      <c r="X42" s="156">
        <f t="shared" si="40"/>
        <v>0</v>
      </c>
    </row>
    <row r="43" spans="2:24" x14ac:dyDescent="0.35">
      <c r="B43" s="170" t="s">
        <v>165</v>
      </c>
      <c r="C43" s="284"/>
      <c r="D43" s="134" t="s">
        <v>35</v>
      </c>
      <c r="E43" s="65" t="s">
        <v>265</v>
      </c>
      <c r="F43" s="66">
        <v>10</v>
      </c>
      <c r="G43" s="65" t="s">
        <v>27</v>
      </c>
      <c r="H43" s="114"/>
      <c r="I43" s="114">
        <v>1</v>
      </c>
      <c r="J43" s="114"/>
      <c r="K43" s="114"/>
      <c r="L43" s="114"/>
      <c r="M43" s="56">
        <f t="shared" si="41"/>
        <v>1</v>
      </c>
      <c r="N43" s="138">
        <v>200000</v>
      </c>
      <c r="O43" s="48">
        <f t="shared" si="42"/>
        <v>0</v>
      </c>
      <c r="P43" s="48">
        <f t="shared" si="42"/>
        <v>200000</v>
      </c>
      <c r="Q43" s="48">
        <f t="shared" si="42"/>
        <v>0</v>
      </c>
      <c r="R43" s="48">
        <f t="shared" si="42"/>
        <v>0</v>
      </c>
      <c r="S43" s="48">
        <f t="shared" si="42"/>
        <v>0</v>
      </c>
      <c r="T43" s="59">
        <f t="shared" si="43"/>
        <v>200000</v>
      </c>
      <c r="U43" s="155">
        <f t="shared" si="44"/>
        <v>0</v>
      </c>
      <c r="V43" s="148">
        <f t="shared" si="40"/>
        <v>0</v>
      </c>
      <c r="W43" s="148">
        <f t="shared" si="40"/>
        <v>200000</v>
      </c>
      <c r="X43" s="156">
        <f t="shared" si="40"/>
        <v>0</v>
      </c>
    </row>
    <row r="44" spans="2:24" x14ac:dyDescent="0.35">
      <c r="B44" s="170" t="s">
        <v>165</v>
      </c>
      <c r="C44" s="284"/>
      <c r="D44" s="134" t="s">
        <v>29</v>
      </c>
      <c r="E44" s="65" t="s">
        <v>265</v>
      </c>
      <c r="F44" s="66">
        <v>10</v>
      </c>
      <c r="G44" s="65" t="s">
        <v>27</v>
      </c>
      <c r="H44" s="136"/>
      <c r="I44" s="136">
        <v>1</v>
      </c>
      <c r="J44" s="114"/>
      <c r="K44" s="114"/>
      <c r="L44" s="114"/>
      <c r="M44" s="56">
        <f t="shared" si="41"/>
        <v>1</v>
      </c>
      <c r="N44" s="138">
        <v>300000</v>
      </c>
      <c r="O44" s="48">
        <f t="shared" si="42"/>
        <v>0</v>
      </c>
      <c r="P44" s="48">
        <f t="shared" si="42"/>
        <v>300000</v>
      </c>
      <c r="Q44" s="48">
        <f t="shared" si="42"/>
        <v>0</v>
      </c>
      <c r="R44" s="48">
        <f t="shared" si="42"/>
        <v>0</v>
      </c>
      <c r="S44" s="48">
        <f t="shared" si="42"/>
        <v>0</v>
      </c>
      <c r="T44" s="59">
        <f t="shared" si="43"/>
        <v>300000</v>
      </c>
      <c r="U44" s="155">
        <f t="shared" si="44"/>
        <v>0</v>
      </c>
      <c r="V44" s="148">
        <f t="shared" si="40"/>
        <v>0</v>
      </c>
      <c r="W44" s="148">
        <f t="shared" si="40"/>
        <v>300000</v>
      </c>
      <c r="X44" s="156">
        <f t="shared" si="40"/>
        <v>0</v>
      </c>
    </row>
    <row r="45" spans="2:24" x14ac:dyDescent="0.35">
      <c r="B45" s="170" t="s">
        <v>165</v>
      </c>
      <c r="C45" s="284"/>
      <c r="D45" s="134" t="s">
        <v>58</v>
      </c>
      <c r="E45" s="65" t="s">
        <v>265</v>
      </c>
      <c r="F45" s="66">
        <v>10</v>
      </c>
      <c r="G45" s="65" t="s">
        <v>28</v>
      </c>
      <c r="H45" s="114"/>
      <c r="I45" s="114">
        <v>2</v>
      </c>
      <c r="J45" s="114"/>
      <c r="K45" s="114"/>
      <c r="L45" s="114"/>
      <c r="M45" s="56">
        <f t="shared" si="41"/>
        <v>2</v>
      </c>
      <c r="N45" s="138">
        <v>300000</v>
      </c>
      <c r="O45" s="48">
        <f t="shared" si="42"/>
        <v>0</v>
      </c>
      <c r="P45" s="48">
        <f t="shared" si="42"/>
        <v>600000</v>
      </c>
      <c r="Q45" s="48">
        <f t="shared" si="42"/>
        <v>0</v>
      </c>
      <c r="R45" s="48">
        <f t="shared" si="42"/>
        <v>0</v>
      </c>
      <c r="S45" s="48">
        <f t="shared" si="42"/>
        <v>0</v>
      </c>
      <c r="T45" s="59">
        <f t="shared" si="43"/>
        <v>600000</v>
      </c>
      <c r="U45" s="155">
        <f t="shared" si="44"/>
        <v>0</v>
      </c>
      <c r="V45" s="148">
        <f t="shared" si="40"/>
        <v>0</v>
      </c>
      <c r="W45" s="148">
        <f t="shared" si="40"/>
        <v>600000</v>
      </c>
      <c r="X45" s="156">
        <f t="shared" si="40"/>
        <v>0</v>
      </c>
    </row>
    <row r="46" spans="2:24" x14ac:dyDescent="0.35">
      <c r="B46" s="170" t="s">
        <v>165</v>
      </c>
      <c r="C46" s="284"/>
      <c r="D46" s="134" t="s">
        <v>30</v>
      </c>
      <c r="E46" s="65" t="s">
        <v>265</v>
      </c>
      <c r="F46" s="66"/>
      <c r="G46" s="65" t="s">
        <v>28</v>
      </c>
      <c r="H46" s="114"/>
      <c r="I46" s="114">
        <v>0</v>
      </c>
      <c r="J46" s="114"/>
      <c r="K46" s="114"/>
      <c r="L46" s="114"/>
      <c r="M46" s="56">
        <f t="shared" si="41"/>
        <v>0</v>
      </c>
      <c r="N46" s="138">
        <v>360000</v>
      </c>
      <c r="O46" s="48">
        <f t="shared" si="42"/>
        <v>0</v>
      </c>
      <c r="P46" s="48">
        <f t="shared" si="42"/>
        <v>0</v>
      </c>
      <c r="Q46" s="48">
        <f t="shared" si="42"/>
        <v>0</v>
      </c>
      <c r="R46" s="48">
        <f t="shared" si="42"/>
        <v>0</v>
      </c>
      <c r="S46" s="48">
        <f t="shared" si="42"/>
        <v>0</v>
      </c>
      <c r="T46" s="59">
        <f t="shared" si="43"/>
        <v>0</v>
      </c>
      <c r="U46" s="155">
        <f t="shared" si="44"/>
        <v>0</v>
      </c>
      <c r="V46" s="148">
        <f t="shared" si="40"/>
        <v>0</v>
      </c>
      <c r="W46" s="148">
        <f t="shared" si="40"/>
        <v>0</v>
      </c>
      <c r="X46" s="156">
        <f t="shared" si="40"/>
        <v>0</v>
      </c>
    </row>
    <row r="47" spans="2:24" x14ac:dyDescent="0.35">
      <c r="B47" s="170" t="s">
        <v>165</v>
      </c>
      <c r="C47" s="284"/>
      <c r="D47" s="134" t="s">
        <v>77</v>
      </c>
      <c r="E47" s="65" t="s">
        <v>265</v>
      </c>
      <c r="F47" s="66">
        <v>10</v>
      </c>
      <c r="G47" s="65" t="s">
        <v>28</v>
      </c>
      <c r="H47" s="114"/>
      <c r="I47" s="114">
        <v>1</v>
      </c>
      <c r="J47" s="114"/>
      <c r="K47" s="114"/>
      <c r="L47" s="114"/>
      <c r="M47" s="56">
        <f t="shared" si="41"/>
        <v>1</v>
      </c>
      <c r="N47" s="138">
        <v>500000</v>
      </c>
      <c r="O47" s="48">
        <f t="shared" si="42"/>
        <v>0</v>
      </c>
      <c r="P47" s="48">
        <f t="shared" si="42"/>
        <v>500000</v>
      </c>
      <c r="Q47" s="48">
        <f t="shared" si="42"/>
        <v>0</v>
      </c>
      <c r="R47" s="48">
        <f t="shared" si="42"/>
        <v>0</v>
      </c>
      <c r="S47" s="48">
        <f t="shared" si="42"/>
        <v>0</v>
      </c>
      <c r="T47" s="59">
        <f t="shared" si="43"/>
        <v>500000</v>
      </c>
      <c r="U47" s="155">
        <f t="shared" si="44"/>
        <v>0</v>
      </c>
      <c r="V47" s="148">
        <f t="shared" si="40"/>
        <v>0</v>
      </c>
      <c r="W47" s="148">
        <f t="shared" si="40"/>
        <v>500000</v>
      </c>
      <c r="X47" s="156">
        <f t="shared" si="40"/>
        <v>0</v>
      </c>
    </row>
    <row r="48" spans="2:24" ht="29" x14ac:dyDescent="0.35">
      <c r="B48" s="170" t="s">
        <v>165</v>
      </c>
      <c r="C48" s="284"/>
      <c r="D48" s="134" t="s">
        <v>237</v>
      </c>
      <c r="E48" s="65" t="s">
        <v>265</v>
      </c>
      <c r="F48" s="66">
        <v>10</v>
      </c>
      <c r="G48" s="65" t="s">
        <v>28</v>
      </c>
      <c r="H48" s="114"/>
      <c r="I48" s="114">
        <v>0.5</v>
      </c>
      <c r="J48" s="114"/>
      <c r="K48" s="114"/>
      <c r="L48" s="114"/>
      <c r="M48" s="56">
        <f t="shared" si="41"/>
        <v>0.5</v>
      </c>
      <c r="N48" s="138">
        <v>600000</v>
      </c>
      <c r="O48" s="48">
        <f t="shared" si="42"/>
        <v>0</v>
      </c>
      <c r="P48" s="48">
        <f t="shared" si="42"/>
        <v>300000</v>
      </c>
      <c r="Q48" s="48">
        <f t="shared" si="42"/>
        <v>0</v>
      </c>
      <c r="R48" s="48">
        <f t="shared" si="42"/>
        <v>0</v>
      </c>
      <c r="S48" s="48">
        <f t="shared" si="42"/>
        <v>0</v>
      </c>
      <c r="T48" s="59">
        <f t="shared" si="43"/>
        <v>300000</v>
      </c>
      <c r="U48" s="155">
        <f t="shared" si="44"/>
        <v>0</v>
      </c>
      <c r="V48" s="148">
        <f t="shared" si="40"/>
        <v>0</v>
      </c>
      <c r="W48" s="148">
        <f t="shared" si="40"/>
        <v>300000</v>
      </c>
      <c r="X48" s="156">
        <f t="shared" si="40"/>
        <v>0</v>
      </c>
    </row>
    <row r="49" spans="2:24" x14ac:dyDescent="0.35">
      <c r="B49" s="170" t="s">
        <v>165</v>
      </c>
      <c r="C49" s="284"/>
      <c r="D49" s="134" t="s">
        <v>21</v>
      </c>
      <c r="E49" s="65" t="s">
        <v>265</v>
      </c>
      <c r="F49" s="66"/>
      <c r="G49" s="65" t="s">
        <v>27</v>
      </c>
      <c r="H49" s="114"/>
      <c r="I49" s="114"/>
      <c r="J49" s="114"/>
      <c r="K49" s="114"/>
      <c r="L49" s="114"/>
      <c r="M49" s="56">
        <f t="shared" si="41"/>
        <v>0</v>
      </c>
      <c r="N49" s="138">
        <v>420000</v>
      </c>
      <c r="O49" s="48">
        <f t="shared" si="42"/>
        <v>0</v>
      </c>
      <c r="P49" s="48">
        <f t="shared" si="42"/>
        <v>0</v>
      </c>
      <c r="Q49" s="48">
        <f t="shared" si="42"/>
        <v>0</v>
      </c>
      <c r="R49" s="48">
        <f t="shared" si="42"/>
        <v>0</v>
      </c>
      <c r="S49" s="48">
        <f t="shared" si="42"/>
        <v>0</v>
      </c>
      <c r="T49" s="59">
        <f t="shared" si="43"/>
        <v>0</v>
      </c>
      <c r="U49" s="155">
        <f t="shared" si="44"/>
        <v>0</v>
      </c>
      <c r="V49" s="148">
        <f t="shared" si="40"/>
        <v>0</v>
      </c>
      <c r="W49" s="148">
        <f t="shared" si="40"/>
        <v>0</v>
      </c>
      <c r="X49" s="156">
        <f t="shared" si="40"/>
        <v>0</v>
      </c>
    </row>
    <row r="50" spans="2:24" ht="29" x14ac:dyDescent="0.35">
      <c r="B50" s="1" t="s">
        <v>170</v>
      </c>
      <c r="C50" s="284"/>
      <c r="D50" s="134" t="s">
        <v>34</v>
      </c>
      <c r="E50" s="65" t="s">
        <v>265</v>
      </c>
      <c r="F50" s="66">
        <v>10</v>
      </c>
      <c r="G50" s="65" t="s">
        <v>28</v>
      </c>
      <c r="H50" s="114"/>
      <c r="I50" s="114">
        <v>0.5</v>
      </c>
      <c r="J50" s="114">
        <v>0.5</v>
      </c>
      <c r="K50" s="114"/>
      <c r="L50" s="114"/>
      <c r="M50" s="56">
        <f t="shared" si="41"/>
        <v>1</v>
      </c>
      <c r="N50" s="138">
        <v>300000</v>
      </c>
      <c r="O50" s="48">
        <f t="shared" si="42"/>
        <v>0</v>
      </c>
      <c r="P50" s="48">
        <f t="shared" si="42"/>
        <v>150000</v>
      </c>
      <c r="Q50" s="48">
        <f t="shared" si="42"/>
        <v>150000</v>
      </c>
      <c r="R50" s="48">
        <f t="shared" si="42"/>
        <v>0</v>
      </c>
      <c r="S50" s="48">
        <f t="shared" si="42"/>
        <v>0</v>
      </c>
      <c r="T50" s="59">
        <f t="shared" si="43"/>
        <v>300000</v>
      </c>
      <c r="U50" s="155">
        <f t="shared" si="44"/>
        <v>0</v>
      </c>
      <c r="V50" s="148">
        <f t="shared" si="40"/>
        <v>0</v>
      </c>
      <c r="W50" s="148">
        <f t="shared" si="40"/>
        <v>300000</v>
      </c>
      <c r="X50" s="156">
        <f t="shared" si="40"/>
        <v>0</v>
      </c>
    </row>
    <row r="51" spans="2:24" ht="29.5" thickBot="1" x14ac:dyDescent="0.4">
      <c r="B51" s="170" t="s">
        <v>169</v>
      </c>
      <c r="C51" s="285"/>
      <c r="D51" s="135" t="s">
        <v>81</v>
      </c>
      <c r="E51" s="65" t="s">
        <v>265</v>
      </c>
      <c r="F51" s="68">
        <v>10</v>
      </c>
      <c r="G51" s="67" t="s">
        <v>28</v>
      </c>
      <c r="H51" s="137">
        <v>4</v>
      </c>
      <c r="I51" s="137">
        <v>4</v>
      </c>
      <c r="J51" s="115">
        <v>4</v>
      </c>
      <c r="K51" s="115"/>
      <c r="L51" s="115"/>
      <c r="M51" s="57">
        <f t="shared" si="41"/>
        <v>12</v>
      </c>
      <c r="N51" s="139">
        <v>60000</v>
      </c>
      <c r="O51" s="49">
        <f t="shared" si="42"/>
        <v>240000</v>
      </c>
      <c r="P51" s="49">
        <f t="shared" si="42"/>
        <v>240000</v>
      </c>
      <c r="Q51" s="49">
        <f t="shared" si="42"/>
        <v>240000</v>
      </c>
      <c r="R51" s="49">
        <f t="shared" si="42"/>
        <v>0</v>
      </c>
      <c r="S51" s="49">
        <f t="shared" si="42"/>
        <v>0</v>
      </c>
      <c r="T51" s="60">
        <f t="shared" si="43"/>
        <v>720000</v>
      </c>
      <c r="U51" s="157">
        <f t="shared" si="44"/>
        <v>0</v>
      </c>
      <c r="V51" s="158">
        <f t="shared" si="40"/>
        <v>0</v>
      </c>
      <c r="W51" s="158">
        <f t="shared" si="40"/>
        <v>720000</v>
      </c>
      <c r="X51" s="159">
        <f t="shared" si="40"/>
        <v>0</v>
      </c>
    </row>
    <row r="52" spans="2:24" ht="15" thickBot="1" x14ac:dyDescent="0.4">
      <c r="C52" s="9"/>
      <c r="D52" s="46"/>
      <c r="E52" s="9"/>
      <c r="F52" s="9"/>
      <c r="G52" s="9"/>
      <c r="H52" s="9"/>
      <c r="I52" s="9"/>
      <c r="J52" s="9"/>
      <c r="K52" s="9"/>
      <c r="L52" s="9"/>
      <c r="M52" s="9"/>
      <c r="N52" s="37"/>
      <c r="O52" s="37"/>
      <c r="P52" s="37"/>
      <c r="Q52" s="37"/>
      <c r="R52" s="37"/>
      <c r="S52" s="37"/>
      <c r="T52" s="37"/>
      <c r="U52" s="37"/>
      <c r="V52" s="37"/>
      <c r="W52" s="37"/>
      <c r="X52" s="37"/>
    </row>
    <row r="53" spans="2:24" s="45" customFormat="1" ht="15" thickBot="1" x14ac:dyDescent="0.4">
      <c r="C53" s="47"/>
      <c r="D53" s="46"/>
      <c r="E53" s="46"/>
      <c r="F53" s="46"/>
      <c r="G53" s="46"/>
      <c r="H53" s="46"/>
      <c r="I53" s="46"/>
      <c r="J53" s="46"/>
      <c r="K53" s="46"/>
      <c r="L53" s="87"/>
      <c r="M53" s="88"/>
      <c r="N53" s="89" t="s">
        <v>95</v>
      </c>
      <c r="O53" s="83">
        <f>SUM(O41:O51)</f>
        <v>540000</v>
      </c>
      <c r="P53" s="84">
        <f>SUM(P41:P51)</f>
        <v>2590000</v>
      </c>
      <c r="Q53" s="84">
        <f>SUM(Q41:Q51)</f>
        <v>390000</v>
      </c>
      <c r="R53" s="84">
        <f>SUM(R41:R51)</f>
        <v>0</v>
      </c>
      <c r="S53" s="85">
        <f>SUM(S41:S51)</f>
        <v>0</v>
      </c>
      <c r="T53" s="61">
        <f>SUM(O53:S53)</f>
        <v>3520000</v>
      </c>
      <c r="U53" s="147">
        <f t="shared" ref="U53:X53" si="45">SUM(U41:U51)</f>
        <v>0</v>
      </c>
      <c r="V53" s="149">
        <f t="shared" si="45"/>
        <v>0</v>
      </c>
      <c r="W53" s="149">
        <f t="shared" si="45"/>
        <v>3520000</v>
      </c>
      <c r="X53" s="150">
        <f t="shared" si="45"/>
        <v>0</v>
      </c>
    </row>
    <row r="54" spans="2:24" x14ac:dyDescent="0.35">
      <c r="C54" s="9"/>
      <c r="D54" s="9"/>
      <c r="E54" s="9"/>
      <c r="F54" s="9"/>
      <c r="G54" s="9"/>
      <c r="H54" s="9"/>
      <c r="I54" s="9"/>
      <c r="J54" s="9"/>
      <c r="K54" s="9"/>
      <c r="L54" s="9"/>
      <c r="M54" s="9"/>
      <c r="N54" s="9"/>
      <c r="O54" s="3"/>
      <c r="P54" s="3"/>
      <c r="Q54" s="3"/>
      <c r="R54" s="3"/>
      <c r="S54" s="3"/>
      <c r="T54" s="12"/>
      <c r="U54" s="12"/>
      <c r="V54" s="12"/>
      <c r="W54" s="12"/>
      <c r="X54" s="12"/>
    </row>
    <row r="55" spans="2:24" ht="15" thickBot="1" x14ac:dyDescent="0.4">
      <c r="C55" s="16"/>
      <c r="D55" s="9"/>
      <c r="E55" s="9"/>
      <c r="F55" s="9"/>
      <c r="G55" s="9"/>
      <c r="H55" s="9"/>
      <c r="I55" s="9"/>
      <c r="J55" s="5"/>
      <c r="K55" s="5"/>
      <c r="L55" s="5"/>
      <c r="M55" s="5"/>
      <c r="N55" s="4"/>
      <c r="O55" s="41"/>
      <c r="P55" s="41"/>
      <c r="Q55" s="41"/>
      <c r="R55" s="41"/>
      <c r="S55" s="41"/>
      <c r="T55" s="42"/>
      <c r="U55" s="42"/>
      <c r="V55" s="42"/>
      <c r="W55" s="42"/>
      <c r="X55" s="42"/>
    </row>
    <row r="56" spans="2:24" s="71" customFormat="1" ht="43.5" x14ac:dyDescent="0.35">
      <c r="C56" s="75" t="s">
        <v>92</v>
      </c>
      <c r="D56" s="74" t="s">
        <v>7</v>
      </c>
      <c r="E56" s="74" t="str">
        <f>E19</f>
        <v>Fin.
AFD, EU, GCF, GVNT</v>
      </c>
      <c r="F56" s="74" t="str">
        <f>F19</f>
        <v>Durée de vie (an)</v>
      </c>
      <c r="G56" s="74" t="s">
        <v>26</v>
      </c>
      <c r="H56" s="72">
        <v>2021</v>
      </c>
      <c r="I56" s="72">
        <v>2022</v>
      </c>
      <c r="J56" s="72">
        <v>2023</v>
      </c>
      <c r="K56" s="72">
        <v>2024</v>
      </c>
      <c r="L56" s="72">
        <v>2025</v>
      </c>
      <c r="M56" s="69" t="s">
        <v>36</v>
      </c>
      <c r="N56" s="62" t="s">
        <v>37</v>
      </c>
      <c r="O56" s="73" t="s">
        <v>9</v>
      </c>
      <c r="P56" s="73" t="s">
        <v>10</v>
      </c>
      <c r="Q56" s="73" t="s">
        <v>11</v>
      </c>
      <c r="R56" s="73" t="s">
        <v>12</v>
      </c>
      <c r="S56" s="73" t="s">
        <v>39</v>
      </c>
      <c r="T56" s="70" t="s">
        <v>22</v>
      </c>
      <c r="U56" s="160"/>
      <c r="V56" s="161"/>
      <c r="W56" s="161"/>
      <c r="X56" s="162"/>
    </row>
    <row r="57" spans="2:24" x14ac:dyDescent="0.35">
      <c r="B57" s="170" t="s">
        <v>166</v>
      </c>
      <c r="C57" s="288" t="s">
        <v>40</v>
      </c>
      <c r="D57" s="65" t="s">
        <v>45</v>
      </c>
      <c r="E57" s="65" t="s">
        <v>264</v>
      </c>
      <c r="F57" s="66"/>
      <c r="G57" s="65" t="s">
        <v>32</v>
      </c>
      <c r="H57" s="51">
        <v>1</v>
      </c>
      <c r="I57" s="51">
        <v>1</v>
      </c>
      <c r="J57" s="51"/>
      <c r="K57" s="51"/>
      <c r="L57" s="51"/>
      <c r="M57" s="56">
        <f t="shared" ref="M57:M62" si="46">SUM(H57:L57)</f>
        <v>2</v>
      </c>
      <c r="N57" s="63">
        <v>300000</v>
      </c>
      <c r="O57" s="48">
        <f>H57*$N57</f>
        <v>300000</v>
      </c>
      <c r="P57" s="48">
        <f>I57*$N57</f>
        <v>300000</v>
      </c>
      <c r="Q57" s="48">
        <f>J57*$N57</f>
        <v>0</v>
      </c>
      <c r="R57" s="48">
        <f>K57*$N57</f>
        <v>0</v>
      </c>
      <c r="S57" s="48">
        <f>L57*$N57</f>
        <v>0</v>
      </c>
      <c r="T57" s="59">
        <f>SUM(O57:S57)</f>
        <v>600000</v>
      </c>
      <c r="U57" s="155">
        <f>IF($E57=U$18,$T57,0)</f>
        <v>0</v>
      </c>
      <c r="V57" s="148">
        <f t="shared" ref="V57:X63" si="47">IF($E57=V$18,$T57,0)</f>
        <v>600000</v>
      </c>
      <c r="W57" s="148">
        <f t="shared" si="47"/>
        <v>0</v>
      </c>
      <c r="X57" s="156">
        <f t="shared" si="47"/>
        <v>0</v>
      </c>
    </row>
    <row r="58" spans="2:24" x14ac:dyDescent="0.35">
      <c r="B58" s="170" t="s">
        <v>166</v>
      </c>
      <c r="C58" s="284"/>
      <c r="D58" s="76" t="s">
        <v>42</v>
      </c>
      <c r="E58" s="65" t="s">
        <v>264</v>
      </c>
      <c r="F58" s="77"/>
      <c r="G58" s="76" t="s">
        <v>27</v>
      </c>
      <c r="H58" s="78">
        <v>10</v>
      </c>
      <c r="I58" s="78">
        <v>10</v>
      </c>
      <c r="J58" s="78">
        <v>10</v>
      </c>
      <c r="K58" s="78">
        <v>10</v>
      </c>
      <c r="L58" s="78">
        <v>10</v>
      </c>
      <c r="M58" s="79">
        <f t="shared" si="46"/>
        <v>50</v>
      </c>
      <c r="N58" s="80">
        <v>15000</v>
      </c>
      <c r="O58" s="81">
        <f t="shared" ref="O58:S63" si="48">H58*$N58</f>
        <v>150000</v>
      </c>
      <c r="P58" s="81">
        <f t="shared" si="48"/>
        <v>150000</v>
      </c>
      <c r="Q58" s="81">
        <f t="shared" si="48"/>
        <v>150000</v>
      </c>
      <c r="R58" s="81">
        <f t="shared" si="48"/>
        <v>150000</v>
      </c>
      <c r="S58" s="81">
        <f t="shared" si="48"/>
        <v>150000</v>
      </c>
      <c r="T58" s="82">
        <f t="shared" ref="T58:T63" si="49">SUM(O58:S58)</f>
        <v>750000</v>
      </c>
      <c r="U58" s="155">
        <f t="shared" ref="U58:U63" si="50">IF($E58=U$18,$T58,0)</f>
        <v>0</v>
      </c>
      <c r="V58" s="148">
        <f t="shared" si="47"/>
        <v>750000</v>
      </c>
      <c r="W58" s="148">
        <f t="shared" si="47"/>
        <v>0</v>
      </c>
      <c r="X58" s="156">
        <f t="shared" si="47"/>
        <v>0</v>
      </c>
    </row>
    <row r="59" spans="2:24" x14ac:dyDescent="0.35">
      <c r="B59" s="170" t="s">
        <v>166</v>
      </c>
      <c r="C59" s="284"/>
      <c r="D59" s="76" t="s">
        <v>43</v>
      </c>
      <c r="E59" s="65" t="s">
        <v>264</v>
      </c>
      <c r="F59" s="77"/>
      <c r="G59" s="76" t="s">
        <v>27</v>
      </c>
      <c r="H59" s="78"/>
      <c r="I59" s="78"/>
      <c r="J59" s="78"/>
      <c r="K59" s="78"/>
      <c r="L59" s="78"/>
      <c r="M59" s="79">
        <f t="shared" si="46"/>
        <v>0</v>
      </c>
      <c r="N59" s="80">
        <v>5000</v>
      </c>
      <c r="O59" s="81">
        <f t="shared" si="48"/>
        <v>0</v>
      </c>
      <c r="P59" s="81">
        <f t="shared" si="48"/>
        <v>0</v>
      </c>
      <c r="Q59" s="81">
        <f t="shared" si="48"/>
        <v>0</v>
      </c>
      <c r="R59" s="81">
        <f t="shared" si="48"/>
        <v>0</v>
      </c>
      <c r="S59" s="81">
        <f t="shared" si="48"/>
        <v>0</v>
      </c>
      <c r="T59" s="82">
        <f t="shared" si="49"/>
        <v>0</v>
      </c>
      <c r="U59" s="155">
        <f t="shared" si="50"/>
        <v>0</v>
      </c>
      <c r="V59" s="148">
        <f t="shared" si="47"/>
        <v>0</v>
      </c>
      <c r="W59" s="148">
        <f t="shared" si="47"/>
        <v>0</v>
      </c>
      <c r="X59" s="156">
        <f t="shared" si="47"/>
        <v>0</v>
      </c>
    </row>
    <row r="60" spans="2:24" x14ac:dyDescent="0.35">
      <c r="B60" s="170" t="s">
        <v>166</v>
      </c>
      <c r="C60" s="284"/>
      <c r="D60" s="76" t="s">
        <v>44</v>
      </c>
      <c r="E60" s="65" t="s">
        <v>264</v>
      </c>
      <c r="F60" s="77"/>
      <c r="G60" s="76" t="s">
        <v>27</v>
      </c>
      <c r="H60" s="78">
        <v>1</v>
      </c>
      <c r="I60" s="78">
        <v>1</v>
      </c>
      <c r="J60" s="78"/>
      <c r="K60" s="78"/>
      <c r="L60" s="78"/>
      <c r="M60" s="79">
        <f t="shared" si="46"/>
        <v>2</v>
      </c>
      <c r="N60" s="80">
        <v>20000</v>
      </c>
      <c r="O60" s="81">
        <f t="shared" si="48"/>
        <v>20000</v>
      </c>
      <c r="P60" s="81">
        <f t="shared" si="48"/>
        <v>20000</v>
      </c>
      <c r="Q60" s="81">
        <f t="shared" si="48"/>
        <v>0</v>
      </c>
      <c r="R60" s="81">
        <f t="shared" si="48"/>
        <v>0</v>
      </c>
      <c r="S60" s="81">
        <f t="shared" si="48"/>
        <v>0</v>
      </c>
      <c r="T60" s="82">
        <f t="shared" si="49"/>
        <v>40000</v>
      </c>
      <c r="U60" s="155">
        <f t="shared" si="50"/>
        <v>0</v>
      </c>
      <c r="V60" s="148">
        <f t="shared" si="47"/>
        <v>40000</v>
      </c>
      <c r="W60" s="148">
        <f t="shared" si="47"/>
        <v>0</v>
      </c>
      <c r="X60" s="156">
        <f t="shared" si="47"/>
        <v>0</v>
      </c>
    </row>
    <row r="61" spans="2:24" ht="43.5" x14ac:dyDescent="0.35">
      <c r="B61" s="170" t="s">
        <v>158</v>
      </c>
      <c r="C61" s="284"/>
      <c r="D61" s="76" t="s">
        <v>71</v>
      </c>
      <c r="E61" s="65" t="s">
        <v>264</v>
      </c>
      <c r="F61" s="77"/>
      <c r="G61" s="76" t="s">
        <v>32</v>
      </c>
      <c r="H61" s="78"/>
      <c r="I61" s="78">
        <v>1</v>
      </c>
      <c r="J61" s="78"/>
      <c r="K61" s="78"/>
      <c r="L61" s="78"/>
      <c r="M61" s="79">
        <f t="shared" si="46"/>
        <v>1</v>
      </c>
      <c r="N61" s="80">
        <v>300000</v>
      </c>
      <c r="O61" s="81">
        <f t="shared" si="48"/>
        <v>0</v>
      </c>
      <c r="P61" s="81">
        <f t="shared" si="48"/>
        <v>300000</v>
      </c>
      <c r="Q61" s="81">
        <f t="shared" si="48"/>
        <v>0</v>
      </c>
      <c r="R61" s="81">
        <f t="shared" si="48"/>
        <v>0</v>
      </c>
      <c r="S61" s="81">
        <f t="shared" si="48"/>
        <v>0</v>
      </c>
      <c r="T61" s="82">
        <f t="shared" si="49"/>
        <v>300000</v>
      </c>
      <c r="U61" s="155">
        <f t="shared" si="50"/>
        <v>0</v>
      </c>
      <c r="V61" s="148">
        <f t="shared" si="47"/>
        <v>300000</v>
      </c>
      <c r="W61" s="148">
        <f t="shared" si="47"/>
        <v>0</v>
      </c>
      <c r="X61" s="156">
        <f t="shared" si="47"/>
        <v>0</v>
      </c>
    </row>
    <row r="62" spans="2:24" ht="43.5" x14ac:dyDescent="0.35">
      <c r="B62" s="170" t="s">
        <v>167</v>
      </c>
      <c r="C62" s="284"/>
      <c r="D62" s="76" t="s">
        <v>46</v>
      </c>
      <c r="E62" s="65" t="s">
        <v>264</v>
      </c>
      <c r="F62" s="77"/>
      <c r="G62" s="76" t="s">
        <v>32</v>
      </c>
      <c r="H62" s="78"/>
      <c r="I62" s="78"/>
      <c r="J62" s="78">
        <v>1</v>
      </c>
      <c r="K62" s="78"/>
      <c r="L62" s="78"/>
      <c r="M62" s="79">
        <f t="shared" si="46"/>
        <v>1</v>
      </c>
      <c r="N62" s="80">
        <v>300000</v>
      </c>
      <c r="O62" s="81">
        <f t="shared" si="48"/>
        <v>0</v>
      </c>
      <c r="P62" s="81">
        <f t="shared" si="48"/>
        <v>0</v>
      </c>
      <c r="Q62" s="81">
        <f t="shared" si="48"/>
        <v>300000</v>
      </c>
      <c r="R62" s="81">
        <f t="shared" si="48"/>
        <v>0</v>
      </c>
      <c r="S62" s="81">
        <f t="shared" si="48"/>
        <v>0</v>
      </c>
      <c r="T62" s="82">
        <f t="shared" si="49"/>
        <v>300000</v>
      </c>
      <c r="U62" s="155">
        <f t="shared" si="50"/>
        <v>0</v>
      </c>
      <c r="V62" s="148">
        <f t="shared" si="47"/>
        <v>300000</v>
      </c>
      <c r="W62" s="148">
        <f t="shared" si="47"/>
        <v>0</v>
      </c>
      <c r="X62" s="156">
        <f t="shared" si="47"/>
        <v>0</v>
      </c>
    </row>
    <row r="63" spans="2:24" ht="58.5" thickBot="1" x14ac:dyDescent="0.4">
      <c r="B63" s="170" t="s">
        <v>174</v>
      </c>
      <c r="C63" s="285"/>
      <c r="D63" s="67" t="s">
        <v>47</v>
      </c>
      <c r="E63" s="65" t="s">
        <v>264</v>
      </c>
      <c r="F63" s="68"/>
      <c r="G63" s="67" t="s">
        <v>32</v>
      </c>
      <c r="H63" s="52"/>
      <c r="I63" s="52"/>
      <c r="J63" s="52"/>
      <c r="K63" s="52">
        <v>1</v>
      </c>
      <c r="L63" s="52"/>
      <c r="M63" s="57">
        <f>SUM(H63:L63)</f>
        <v>1</v>
      </c>
      <c r="N63" s="64">
        <v>300000</v>
      </c>
      <c r="O63" s="49">
        <f t="shared" si="48"/>
        <v>0</v>
      </c>
      <c r="P63" s="49">
        <f t="shared" si="48"/>
        <v>0</v>
      </c>
      <c r="Q63" s="49">
        <f t="shared" si="48"/>
        <v>0</v>
      </c>
      <c r="R63" s="49">
        <f t="shared" si="48"/>
        <v>300000</v>
      </c>
      <c r="S63" s="49">
        <f t="shared" si="48"/>
        <v>0</v>
      </c>
      <c r="T63" s="60">
        <f t="shared" si="49"/>
        <v>300000</v>
      </c>
      <c r="U63" s="157">
        <f t="shared" si="50"/>
        <v>0</v>
      </c>
      <c r="V63" s="158">
        <f t="shared" si="47"/>
        <v>300000</v>
      </c>
      <c r="W63" s="158">
        <f t="shared" si="47"/>
        <v>0</v>
      </c>
      <c r="X63" s="159">
        <f t="shared" si="47"/>
        <v>0</v>
      </c>
    </row>
    <row r="64" spans="2:24" ht="15" thickBot="1" x14ac:dyDescent="0.4">
      <c r="C64" s="16"/>
      <c r="D64" s="9"/>
      <c r="E64" s="9"/>
      <c r="F64" s="9"/>
      <c r="G64" s="9"/>
      <c r="H64" s="9"/>
      <c r="I64" s="9"/>
      <c r="J64" s="5"/>
      <c r="K64" s="5"/>
      <c r="L64" s="5"/>
      <c r="M64" s="5"/>
      <c r="N64" s="4"/>
      <c r="O64" s="39"/>
      <c r="P64" s="39"/>
      <c r="Q64" s="40"/>
      <c r="R64" s="40"/>
      <c r="S64" s="40"/>
      <c r="T64" s="41"/>
      <c r="U64" s="41"/>
      <c r="V64" s="41"/>
      <c r="W64" s="41"/>
      <c r="X64" s="41"/>
    </row>
    <row r="65" spans="2:24" s="45" customFormat="1" ht="15" thickBot="1" x14ac:dyDescent="0.4">
      <c r="C65" s="47"/>
      <c r="D65" s="46"/>
      <c r="E65" s="46"/>
      <c r="F65" s="46"/>
      <c r="G65" s="46"/>
      <c r="H65" s="46"/>
      <c r="I65" s="46"/>
      <c r="J65" s="46"/>
      <c r="K65" s="46"/>
      <c r="L65" s="87"/>
      <c r="M65" s="88"/>
      <c r="N65" s="89" t="s">
        <v>97</v>
      </c>
      <c r="O65" s="83">
        <f>SUM(O57:O63)</f>
        <v>470000</v>
      </c>
      <c r="P65" s="84">
        <f>SUM(P57:P63)</f>
        <v>770000</v>
      </c>
      <c r="Q65" s="84">
        <f>SUM(Q57:Q63)</f>
        <v>450000</v>
      </c>
      <c r="R65" s="84">
        <f>SUM(R57:R63)</f>
        <v>450000</v>
      </c>
      <c r="S65" s="85">
        <f>SUM(S57:S63)</f>
        <v>150000</v>
      </c>
      <c r="T65" s="61">
        <f>SUM(O65:S65)</f>
        <v>2290000</v>
      </c>
      <c r="U65" s="147">
        <f>SUM(U57:U63)</f>
        <v>0</v>
      </c>
      <c r="V65" s="149">
        <f t="shared" ref="V65:X65" si="51">SUM(V57:V63)</f>
        <v>2290000</v>
      </c>
      <c r="W65" s="149">
        <f t="shared" si="51"/>
        <v>0</v>
      </c>
      <c r="X65" s="150">
        <f t="shared" si="51"/>
        <v>0</v>
      </c>
    </row>
    <row r="66" spans="2:24" s="2" customFormat="1" x14ac:dyDescent="0.35">
      <c r="C66" s="16" t="s">
        <v>189</v>
      </c>
      <c r="D66" s="9"/>
      <c r="E66" s="9"/>
      <c r="F66" s="9"/>
      <c r="G66" s="9"/>
      <c r="H66" s="9"/>
      <c r="I66" s="9"/>
      <c r="J66" s="5"/>
      <c r="K66" s="5"/>
      <c r="L66" s="5"/>
      <c r="M66" s="5"/>
      <c r="N66" s="4"/>
      <c r="O66" s="41"/>
      <c r="P66" s="41"/>
      <c r="Q66" s="41"/>
      <c r="R66" s="41"/>
      <c r="S66" s="41"/>
      <c r="T66" s="42"/>
      <c r="U66" s="42"/>
      <c r="V66" s="42"/>
      <c r="W66" s="42"/>
      <c r="X66" s="42"/>
    </row>
    <row r="67" spans="2:24" ht="15" thickBot="1" x14ac:dyDescent="0.4">
      <c r="C67" s="16"/>
      <c r="D67" s="9"/>
      <c r="E67" s="9"/>
      <c r="F67" s="9"/>
      <c r="G67" s="9"/>
      <c r="H67" s="9"/>
      <c r="I67" s="9"/>
      <c r="J67" s="5"/>
      <c r="K67" s="5"/>
      <c r="L67" s="5"/>
      <c r="M67" s="5"/>
      <c r="N67" s="4"/>
      <c r="O67" s="41"/>
      <c r="P67" s="41"/>
      <c r="Q67" s="41"/>
      <c r="R67" s="41"/>
      <c r="S67" s="41"/>
      <c r="T67" s="42"/>
      <c r="U67" s="42"/>
      <c r="V67" s="42"/>
      <c r="W67" s="42"/>
      <c r="X67" s="42"/>
    </row>
    <row r="68" spans="2:24" s="71" customFormat="1" ht="43.5" x14ac:dyDescent="0.35">
      <c r="C68" s="75" t="s">
        <v>92</v>
      </c>
      <c r="D68" s="74" t="s">
        <v>7</v>
      </c>
      <c r="E68" s="74" t="str">
        <f>E19</f>
        <v>Fin.
AFD, EU, GCF, GVNT</v>
      </c>
      <c r="F68" s="74" t="str">
        <f>F19</f>
        <v>Durée de vie (an)</v>
      </c>
      <c r="G68" s="74" t="s">
        <v>26</v>
      </c>
      <c r="H68" s="72">
        <v>2021</v>
      </c>
      <c r="I68" s="72">
        <v>2022</v>
      </c>
      <c r="J68" s="72">
        <v>2023</v>
      </c>
      <c r="K68" s="72">
        <v>2024</v>
      </c>
      <c r="L68" s="72">
        <v>2025</v>
      </c>
      <c r="M68" s="69" t="s">
        <v>36</v>
      </c>
      <c r="N68" s="62" t="s">
        <v>37</v>
      </c>
      <c r="O68" s="73" t="s">
        <v>9</v>
      </c>
      <c r="P68" s="73" t="s">
        <v>10</v>
      </c>
      <c r="Q68" s="73" t="s">
        <v>11</v>
      </c>
      <c r="R68" s="73" t="s">
        <v>12</v>
      </c>
      <c r="S68" s="73" t="s">
        <v>39</v>
      </c>
      <c r="T68" s="70" t="s">
        <v>22</v>
      </c>
      <c r="U68" s="160"/>
      <c r="V68" s="161"/>
      <c r="W68" s="161"/>
      <c r="X68" s="162"/>
    </row>
    <row r="69" spans="2:24" x14ac:dyDescent="0.35">
      <c r="B69" s="170" t="s">
        <v>166</v>
      </c>
      <c r="C69" s="288" t="s">
        <v>41</v>
      </c>
      <c r="D69" s="65" t="s">
        <v>60</v>
      </c>
      <c r="E69" s="65" t="s">
        <v>264</v>
      </c>
      <c r="F69" s="66"/>
      <c r="G69" s="65" t="s">
        <v>56</v>
      </c>
      <c r="H69" s="51"/>
      <c r="I69" s="51">
        <v>0.25</v>
      </c>
      <c r="J69" s="51">
        <v>0.75</v>
      </c>
      <c r="K69" s="51"/>
      <c r="L69" s="51"/>
      <c r="M69" s="116">
        <f>SUM(H69:L69)</f>
        <v>1</v>
      </c>
      <c r="N69" s="63">
        <v>500000</v>
      </c>
      <c r="O69" s="48">
        <f>H69*$N69</f>
        <v>0</v>
      </c>
      <c r="P69" s="48">
        <f>I69*$N69</f>
        <v>125000</v>
      </c>
      <c r="Q69" s="48">
        <f>J69*$N69</f>
        <v>375000</v>
      </c>
      <c r="R69" s="48">
        <f>K69*$N69</f>
        <v>0</v>
      </c>
      <c r="S69" s="48">
        <f>L69*$N69</f>
        <v>0</v>
      </c>
      <c r="T69" s="59">
        <f>SUM(O69:S69)</f>
        <v>500000</v>
      </c>
      <c r="U69" s="155">
        <f>IF($E69=U$18,$T69,0)</f>
        <v>0</v>
      </c>
      <c r="V69" s="148">
        <f t="shared" ref="V69:X73" si="52">IF($E69=V$18,$T69,0)</f>
        <v>500000</v>
      </c>
      <c r="W69" s="148">
        <f t="shared" si="52"/>
        <v>0</v>
      </c>
      <c r="X69" s="156">
        <f t="shared" si="52"/>
        <v>0</v>
      </c>
    </row>
    <row r="70" spans="2:24" ht="29" x14ac:dyDescent="0.35">
      <c r="B70" s="170" t="s">
        <v>167</v>
      </c>
      <c r="C70" s="284"/>
      <c r="D70" s="76" t="s">
        <v>57</v>
      </c>
      <c r="E70" s="65" t="s">
        <v>264</v>
      </c>
      <c r="F70" s="77"/>
      <c r="G70" s="76" t="s">
        <v>56</v>
      </c>
      <c r="H70" s="78">
        <v>0.5</v>
      </c>
      <c r="I70" s="78">
        <v>0.5</v>
      </c>
      <c r="J70" s="78"/>
      <c r="K70" s="78"/>
      <c r="L70" s="78"/>
      <c r="M70" s="116">
        <f t="shared" ref="M70:M72" si="53">SUM(H70:L70)</f>
        <v>1</v>
      </c>
      <c r="N70" s="80">
        <v>360000</v>
      </c>
      <c r="O70" s="81">
        <f t="shared" ref="O70:S73" si="54">H70*$N70</f>
        <v>180000</v>
      </c>
      <c r="P70" s="81">
        <f t="shared" si="54"/>
        <v>180000</v>
      </c>
      <c r="Q70" s="81">
        <f t="shared" si="54"/>
        <v>0</v>
      </c>
      <c r="R70" s="81">
        <f t="shared" si="54"/>
        <v>0</v>
      </c>
      <c r="S70" s="81">
        <f t="shared" si="54"/>
        <v>0</v>
      </c>
      <c r="T70" s="82">
        <f t="shared" ref="T70:T73" si="55">SUM(O70:S70)</f>
        <v>360000</v>
      </c>
      <c r="U70" s="155">
        <f t="shared" ref="U70:U73" si="56">IF($E70=U$18,$T70,0)</f>
        <v>0</v>
      </c>
      <c r="V70" s="148">
        <f t="shared" si="52"/>
        <v>360000</v>
      </c>
      <c r="W70" s="148">
        <f t="shared" si="52"/>
        <v>0</v>
      </c>
      <c r="X70" s="156">
        <f t="shared" si="52"/>
        <v>0</v>
      </c>
    </row>
    <row r="71" spans="2:24" x14ac:dyDescent="0.35">
      <c r="B71" s="170" t="s">
        <v>169</v>
      </c>
      <c r="C71" s="284"/>
      <c r="D71" s="76" t="s">
        <v>244</v>
      </c>
      <c r="E71" s="65" t="s">
        <v>265</v>
      </c>
      <c r="F71" s="77"/>
      <c r="G71" s="76" t="s">
        <v>303</v>
      </c>
      <c r="H71" s="78"/>
      <c r="I71" s="78">
        <v>1</v>
      </c>
      <c r="J71" s="51">
        <v>1</v>
      </c>
      <c r="K71" s="51">
        <v>1</v>
      </c>
      <c r="L71" s="78"/>
      <c r="M71" s="116">
        <f t="shared" si="53"/>
        <v>3</v>
      </c>
      <c r="N71" s="80">
        <v>150000</v>
      </c>
      <c r="O71" s="81">
        <f t="shared" si="54"/>
        <v>0</v>
      </c>
      <c r="P71" s="81">
        <f t="shared" si="54"/>
        <v>150000</v>
      </c>
      <c r="Q71" s="81">
        <f t="shared" si="54"/>
        <v>150000</v>
      </c>
      <c r="R71" s="81">
        <f t="shared" si="54"/>
        <v>150000</v>
      </c>
      <c r="S71" s="81">
        <f t="shared" si="54"/>
        <v>0</v>
      </c>
      <c r="T71" s="82">
        <f t="shared" si="55"/>
        <v>450000</v>
      </c>
      <c r="U71" s="155">
        <f t="shared" si="56"/>
        <v>0</v>
      </c>
      <c r="V71" s="148">
        <f t="shared" si="52"/>
        <v>0</v>
      </c>
      <c r="W71" s="148">
        <f t="shared" si="52"/>
        <v>450000</v>
      </c>
      <c r="X71" s="156">
        <f t="shared" si="52"/>
        <v>0</v>
      </c>
    </row>
    <row r="72" spans="2:24" x14ac:dyDescent="0.35">
      <c r="B72" s="170" t="s">
        <v>169</v>
      </c>
      <c r="C72" s="284"/>
      <c r="D72" s="76" t="s">
        <v>246</v>
      </c>
      <c r="E72" s="65" t="s">
        <v>265</v>
      </c>
      <c r="F72" s="77"/>
      <c r="G72" s="76" t="s">
        <v>303</v>
      </c>
      <c r="H72" s="78"/>
      <c r="I72" s="78"/>
      <c r="J72" s="114"/>
      <c r="K72" s="78"/>
      <c r="L72" s="114"/>
      <c r="M72" s="116">
        <f t="shared" si="53"/>
        <v>0</v>
      </c>
      <c r="N72" s="80">
        <v>150000</v>
      </c>
      <c r="O72" s="81">
        <f t="shared" si="54"/>
        <v>0</v>
      </c>
      <c r="P72" s="81">
        <f t="shared" si="54"/>
        <v>0</v>
      </c>
      <c r="Q72" s="81">
        <f t="shared" si="54"/>
        <v>0</v>
      </c>
      <c r="R72" s="81">
        <f t="shared" si="54"/>
        <v>0</v>
      </c>
      <c r="S72" s="81">
        <f t="shared" si="54"/>
        <v>0</v>
      </c>
      <c r="T72" s="82">
        <f t="shared" si="55"/>
        <v>0</v>
      </c>
      <c r="U72" s="155">
        <f t="shared" si="56"/>
        <v>0</v>
      </c>
      <c r="V72" s="148">
        <f t="shared" si="52"/>
        <v>0</v>
      </c>
      <c r="W72" s="148">
        <f t="shared" si="52"/>
        <v>0</v>
      </c>
      <c r="X72" s="156">
        <f t="shared" si="52"/>
        <v>0</v>
      </c>
    </row>
    <row r="73" spans="2:24" ht="15" thickBot="1" x14ac:dyDescent="0.4">
      <c r="B73" s="170" t="s">
        <v>169</v>
      </c>
      <c r="C73" s="285"/>
      <c r="D73" s="67" t="s">
        <v>245</v>
      </c>
      <c r="E73" s="65" t="s">
        <v>265</v>
      </c>
      <c r="F73" s="68"/>
      <c r="G73" s="76" t="s">
        <v>303</v>
      </c>
      <c r="H73" s="52"/>
      <c r="I73" s="52">
        <v>1</v>
      </c>
      <c r="J73" s="52"/>
      <c r="K73" s="115"/>
      <c r="L73" s="52"/>
      <c r="M73" s="117">
        <f>SUM(H73:L73)</f>
        <v>1</v>
      </c>
      <c r="N73" s="64">
        <v>150000</v>
      </c>
      <c r="O73" s="49">
        <f t="shared" si="54"/>
        <v>0</v>
      </c>
      <c r="P73" s="49">
        <f t="shared" si="54"/>
        <v>150000</v>
      </c>
      <c r="Q73" s="49">
        <f t="shared" si="54"/>
        <v>0</v>
      </c>
      <c r="R73" s="49">
        <f t="shared" si="54"/>
        <v>0</v>
      </c>
      <c r="S73" s="49">
        <f t="shared" si="54"/>
        <v>0</v>
      </c>
      <c r="T73" s="60">
        <f t="shared" si="55"/>
        <v>150000</v>
      </c>
      <c r="U73" s="157">
        <f t="shared" si="56"/>
        <v>0</v>
      </c>
      <c r="V73" s="158">
        <f t="shared" si="52"/>
        <v>0</v>
      </c>
      <c r="W73" s="158">
        <f t="shared" si="52"/>
        <v>150000</v>
      </c>
      <c r="X73" s="159">
        <f t="shared" si="52"/>
        <v>0</v>
      </c>
    </row>
    <row r="74" spans="2:24" ht="15" thickBot="1" x14ac:dyDescent="0.4">
      <c r="C74" s="16"/>
      <c r="D74" s="9"/>
      <c r="E74" s="9"/>
      <c r="F74" s="9"/>
      <c r="G74" s="9"/>
      <c r="H74" s="9"/>
      <c r="I74" s="9"/>
      <c r="J74" s="5"/>
      <c r="K74" s="5"/>
      <c r="L74" s="5"/>
      <c r="M74" s="5"/>
      <c r="N74" s="4"/>
      <c r="O74" s="39"/>
      <c r="P74" s="39"/>
      <c r="Q74" s="40"/>
      <c r="R74" s="40"/>
      <c r="S74" s="40"/>
      <c r="T74" s="41"/>
      <c r="U74" s="41"/>
      <c r="V74" s="41"/>
      <c r="W74" s="41"/>
      <c r="X74" s="41"/>
    </row>
    <row r="75" spans="2:24" s="45" customFormat="1" ht="15" thickBot="1" x14ac:dyDescent="0.4">
      <c r="C75" s="47"/>
      <c r="D75" s="46"/>
      <c r="E75" s="46"/>
      <c r="F75" s="46"/>
      <c r="G75" s="46"/>
      <c r="H75" s="46"/>
      <c r="I75" s="46"/>
      <c r="J75" s="46"/>
      <c r="K75" s="46"/>
      <c r="L75" s="87"/>
      <c r="M75" s="88"/>
      <c r="N75" s="89" t="s">
        <v>98</v>
      </c>
      <c r="O75" s="83">
        <f>SUM(O69:O73)</f>
        <v>180000</v>
      </c>
      <c r="P75" s="84">
        <f>SUM(P69:P73)</f>
        <v>605000</v>
      </c>
      <c r="Q75" s="84">
        <f>SUM(Q69:Q73)</f>
        <v>525000</v>
      </c>
      <c r="R75" s="84">
        <f>SUM(R69:R73)</f>
        <v>150000</v>
      </c>
      <c r="S75" s="85">
        <f>SUM(S69:S73)</f>
        <v>0</v>
      </c>
      <c r="T75" s="61">
        <f>SUM(O75:S75)</f>
        <v>1460000</v>
      </c>
      <c r="U75" s="147">
        <f>SUM(U69:U73)</f>
        <v>0</v>
      </c>
      <c r="V75" s="149">
        <f t="shared" ref="V75:X75" si="57">SUM(V69:V73)</f>
        <v>860000</v>
      </c>
      <c r="W75" s="149">
        <f>SUM(W69:W73)</f>
        <v>600000</v>
      </c>
      <c r="X75" s="150">
        <f t="shared" si="57"/>
        <v>0</v>
      </c>
    </row>
    <row r="76" spans="2:24" s="2" customFormat="1" x14ac:dyDescent="0.35">
      <c r="C76" s="16"/>
      <c r="D76" s="9"/>
      <c r="E76" s="9"/>
      <c r="F76" s="9"/>
      <c r="G76" s="9"/>
      <c r="H76" s="9"/>
      <c r="I76" s="9"/>
      <c r="J76" s="5"/>
      <c r="K76" s="5"/>
      <c r="L76" s="5"/>
      <c r="M76" s="5"/>
      <c r="N76" s="4"/>
      <c r="O76" s="41"/>
      <c r="P76" s="41"/>
      <c r="Q76" s="41"/>
      <c r="R76" s="41"/>
      <c r="S76" s="41"/>
      <c r="T76" s="42"/>
      <c r="U76" s="42"/>
      <c r="V76" s="42"/>
      <c r="W76" s="42"/>
      <c r="X76" s="42"/>
    </row>
    <row r="77" spans="2:24" x14ac:dyDescent="0.35">
      <c r="C77" s="16"/>
      <c r="D77" s="9"/>
      <c r="E77" s="9"/>
      <c r="F77" s="9"/>
      <c r="G77" s="9"/>
      <c r="H77" s="9"/>
      <c r="I77" s="9"/>
      <c r="J77" s="5"/>
      <c r="K77" s="5"/>
      <c r="L77" s="5"/>
      <c r="M77" s="5"/>
      <c r="N77" s="4"/>
      <c r="O77" s="41"/>
      <c r="P77" s="41"/>
      <c r="Q77" s="41"/>
      <c r="R77" s="41"/>
      <c r="S77" s="41"/>
      <c r="T77" s="42"/>
      <c r="U77" s="42"/>
      <c r="V77" s="42"/>
      <c r="W77" s="42"/>
      <c r="X77" s="42"/>
    </row>
    <row r="78" spans="2:24" ht="15" thickBot="1" x14ac:dyDescent="0.4">
      <c r="C78" s="16"/>
      <c r="D78" s="9"/>
      <c r="E78" s="9"/>
      <c r="F78" s="9"/>
      <c r="G78" s="9"/>
      <c r="H78" s="9"/>
      <c r="I78" s="9"/>
      <c r="J78" s="5"/>
      <c r="K78" s="5"/>
      <c r="L78" s="5"/>
      <c r="M78" s="5"/>
      <c r="N78" s="4"/>
      <c r="O78" s="41"/>
      <c r="P78" s="41"/>
      <c r="Q78" s="41"/>
      <c r="R78" s="41"/>
      <c r="S78" s="41"/>
      <c r="T78" s="42"/>
      <c r="U78" s="42"/>
      <c r="V78" s="42"/>
      <c r="W78" s="42"/>
      <c r="X78" s="42"/>
    </row>
    <row r="79" spans="2:24" ht="29.5" thickBot="1" x14ac:dyDescent="0.4">
      <c r="C79" s="91"/>
      <c r="D79" s="92"/>
      <c r="E79" s="92"/>
      <c r="F79" s="92"/>
      <c r="G79" s="92"/>
      <c r="H79" s="92"/>
      <c r="I79" s="92"/>
      <c r="J79" s="93"/>
      <c r="K79" s="93"/>
      <c r="L79" s="93"/>
      <c r="M79" s="93"/>
      <c r="N79" s="94"/>
      <c r="O79" s="100" t="s">
        <v>64</v>
      </c>
      <c r="P79" s="100" t="s">
        <v>39</v>
      </c>
      <c r="Q79" s="100" t="s">
        <v>65</v>
      </c>
      <c r="R79" s="100" t="s">
        <v>66</v>
      </c>
      <c r="S79" s="101" t="s">
        <v>67</v>
      </c>
      <c r="T79" s="105" t="s">
        <v>55</v>
      </c>
      <c r="U79" s="144"/>
      <c r="V79" s="144"/>
      <c r="W79" s="144"/>
      <c r="X79" s="144"/>
    </row>
    <row r="80" spans="2:24" s="45" customFormat="1" ht="15" thickBot="1" x14ac:dyDescent="0.4">
      <c r="C80" s="95"/>
      <c r="D80" s="96"/>
      <c r="E80" s="96"/>
      <c r="F80" s="96"/>
      <c r="G80" s="96"/>
      <c r="H80" s="96"/>
      <c r="I80" s="96"/>
      <c r="J80" s="96"/>
      <c r="K80" s="96"/>
      <c r="L80" s="90"/>
      <c r="M80" s="97"/>
      <c r="N80" s="98" t="s">
        <v>99</v>
      </c>
      <c r="O80" s="102">
        <f>O75+O65+O15+O53+O37</f>
        <v>2300500</v>
      </c>
      <c r="P80" s="103">
        <f>P75+P65+P15+P53+P37</f>
        <v>8372500</v>
      </c>
      <c r="Q80" s="103">
        <f>Q75+Q65+Q15+Q53+Q37</f>
        <v>2230500</v>
      </c>
      <c r="R80" s="103">
        <f>R75+R65+R15+R53+R37</f>
        <v>852000</v>
      </c>
      <c r="S80" s="104">
        <f>S75+S65+S15+S53+S37</f>
        <v>402000</v>
      </c>
      <c r="T80" s="99">
        <f>SUM(O80:S80)</f>
        <v>14157500</v>
      </c>
      <c r="U80" s="102">
        <f>SUM(U75,U65,U15,U53,U37)</f>
        <v>0</v>
      </c>
      <c r="V80" s="103">
        <f>SUM(V75,V65,V15,V53,V37)</f>
        <v>3150000</v>
      </c>
      <c r="W80" s="103">
        <f>SUM(W75,W65,W15,W53,W37)</f>
        <v>11007500</v>
      </c>
      <c r="X80" s="103">
        <f>SUM(X75,X65,X15,X53,X37)</f>
        <v>0</v>
      </c>
    </row>
    <row r="81" spans="2:24" x14ac:dyDescent="0.35">
      <c r="C81" s="2"/>
      <c r="D81" s="2"/>
      <c r="E81" s="2"/>
      <c r="F81" s="2"/>
      <c r="G81" s="2"/>
      <c r="H81" s="2"/>
      <c r="I81" s="2"/>
      <c r="J81" s="5"/>
      <c r="K81" s="5"/>
      <c r="L81" s="5"/>
      <c r="M81" s="5"/>
      <c r="N81" s="4"/>
      <c r="O81" s="39"/>
      <c r="P81" s="39"/>
      <c r="Q81" s="39"/>
      <c r="R81" s="39"/>
      <c r="S81" s="39"/>
      <c r="T81" s="39"/>
      <c r="U81" s="39"/>
      <c r="V81" s="39"/>
      <c r="W81" s="39"/>
      <c r="X81" s="39"/>
    </row>
    <row r="82" spans="2:24" ht="15" thickBot="1" x14ac:dyDescent="0.4">
      <c r="C82" s="2"/>
      <c r="D82" s="2"/>
      <c r="E82" s="2"/>
      <c r="F82" s="2"/>
      <c r="G82" s="2"/>
      <c r="H82" s="2"/>
      <c r="I82" s="2"/>
      <c r="J82" s="5"/>
      <c r="K82" s="5"/>
      <c r="L82" s="5"/>
      <c r="M82" s="5"/>
      <c r="N82" s="4"/>
      <c r="O82" s="39"/>
      <c r="P82" s="39"/>
      <c r="Q82" s="39"/>
      <c r="R82" s="39"/>
      <c r="S82" s="39"/>
      <c r="T82" s="39"/>
      <c r="U82" s="39"/>
      <c r="V82" s="39"/>
      <c r="W82" s="39"/>
      <c r="X82" s="39"/>
    </row>
    <row r="83" spans="2:24" s="71" customFormat="1" ht="29" x14ac:dyDescent="0.35">
      <c r="C83" s="75" t="s">
        <v>91</v>
      </c>
      <c r="D83" s="74" t="s">
        <v>7</v>
      </c>
      <c r="E83" s="74"/>
      <c r="F83" s="74"/>
      <c r="G83" s="74" t="s">
        <v>26</v>
      </c>
      <c r="H83" s="72">
        <v>2021</v>
      </c>
      <c r="I83" s="72">
        <v>2022</v>
      </c>
      <c r="J83" s="72">
        <v>2023</v>
      </c>
      <c r="K83" s="72">
        <v>2024</v>
      </c>
      <c r="L83" s="72">
        <v>2025</v>
      </c>
      <c r="M83" s="69" t="s">
        <v>36</v>
      </c>
      <c r="N83" s="62" t="s">
        <v>37</v>
      </c>
      <c r="O83" s="73" t="s">
        <v>64</v>
      </c>
      <c r="P83" s="73" t="s">
        <v>39</v>
      </c>
      <c r="Q83" s="73" t="s">
        <v>65</v>
      </c>
      <c r="R83" s="73" t="s">
        <v>66</v>
      </c>
      <c r="S83" s="73" t="s">
        <v>67</v>
      </c>
      <c r="T83" s="70" t="s">
        <v>82</v>
      </c>
      <c r="U83" s="160"/>
      <c r="V83" s="161"/>
      <c r="W83" s="161"/>
      <c r="X83" s="162"/>
    </row>
    <row r="84" spans="2:24" x14ac:dyDescent="0.35">
      <c r="B84" s="170">
        <v>4.2</v>
      </c>
      <c r="C84" s="284" t="s">
        <v>48</v>
      </c>
      <c r="D84" s="65" t="s">
        <v>318</v>
      </c>
      <c r="E84" s="65" t="s">
        <v>108</v>
      </c>
      <c r="F84" s="66"/>
      <c r="G84" s="65" t="s">
        <v>32</v>
      </c>
      <c r="H84" s="126"/>
      <c r="I84" s="127"/>
      <c r="J84" s="127"/>
      <c r="K84" s="127"/>
      <c r="L84" s="127"/>
      <c r="M84" s="127"/>
      <c r="N84" s="118">
        <v>7.0000000000000007E-2</v>
      </c>
      <c r="O84" s="48">
        <v>0</v>
      </c>
      <c r="P84" s="48">
        <f>ROUND($N84*O37+O84,-3)</f>
        <v>39000</v>
      </c>
      <c r="Q84" s="48">
        <f t="shared" ref="Q84:S84" si="58">ROUND($N84*P37+P84,-3)</f>
        <v>294000</v>
      </c>
      <c r="R84" s="48">
        <f t="shared" si="58"/>
        <v>330000</v>
      </c>
      <c r="S84" s="48">
        <f t="shared" si="58"/>
        <v>330000</v>
      </c>
      <c r="T84" s="59">
        <f t="shared" ref="T84:T85" si="59">SUM(O84:S84)</f>
        <v>993000</v>
      </c>
      <c r="U84" s="155">
        <f>IF($E84=U$18,$T84,0)</f>
        <v>0</v>
      </c>
      <c r="V84" s="148">
        <f t="shared" ref="V84:X85" si="60">IF($E84=V$18,$T84,0)</f>
        <v>0</v>
      </c>
      <c r="W84" s="148">
        <f t="shared" si="60"/>
        <v>0</v>
      </c>
      <c r="X84" s="156">
        <f t="shared" si="60"/>
        <v>993000</v>
      </c>
    </row>
    <row r="85" spans="2:24" ht="15" thickBot="1" x14ac:dyDescent="0.4">
      <c r="B85" s="170">
        <v>4.2</v>
      </c>
      <c r="C85" s="285"/>
      <c r="D85" s="67" t="s">
        <v>319</v>
      </c>
      <c r="E85" s="67" t="s">
        <v>108</v>
      </c>
      <c r="F85" s="68"/>
      <c r="G85" s="67" t="s">
        <v>32</v>
      </c>
      <c r="H85" s="129"/>
      <c r="I85" s="130"/>
      <c r="J85" s="130"/>
      <c r="K85" s="130"/>
      <c r="L85" s="130"/>
      <c r="M85" s="131"/>
      <c r="N85" s="119">
        <v>7.0000000000000007E-2</v>
      </c>
      <c r="O85" s="49">
        <v>0</v>
      </c>
      <c r="P85" s="49">
        <f>ROUND($N85*O53+O85,-3)</f>
        <v>38000</v>
      </c>
      <c r="Q85" s="49">
        <f t="shared" ref="Q85:S85" si="61">ROUND($N85*P53+P85,-3)</f>
        <v>219000</v>
      </c>
      <c r="R85" s="49">
        <f t="shared" si="61"/>
        <v>246000</v>
      </c>
      <c r="S85" s="49">
        <f t="shared" si="61"/>
        <v>246000</v>
      </c>
      <c r="T85" s="60">
        <f t="shared" si="59"/>
        <v>749000</v>
      </c>
      <c r="U85" s="157">
        <f>IF($E85=U$18,$T85,0)</f>
        <v>0</v>
      </c>
      <c r="V85" s="158">
        <f t="shared" si="60"/>
        <v>0</v>
      </c>
      <c r="W85" s="158">
        <f t="shared" si="60"/>
        <v>0</v>
      </c>
      <c r="X85" s="159">
        <f t="shared" si="60"/>
        <v>749000</v>
      </c>
    </row>
    <row r="86" spans="2:24" ht="15" thickBot="1" x14ac:dyDescent="0.4">
      <c r="C86" s="16"/>
      <c r="D86" s="9"/>
      <c r="E86" s="9"/>
      <c r="F86" s="9"/>
      <c r="G86" s="9"/>
      <c r="H86" s="9"/>
      <c r="I86" s="9"/>
      <c r="J86" s="5"/>
      <c r="K86" s="5"/>
      <c r="L86" s="5"/>
      <c r="M86" s="5"/>
      <c r="N86" s="4"/>
      <c r="O86" s="39"/>
      <c r="P86" s="39"/>
      <c r="Q86" s="40"/>
      <c r="R86" s="40"/>
      <c r="S86" s="40"/>
      <c r="T86" s="41"/>
      <c r="U86" s="41"/>
      <c r="V86" s="41"/>
      <c r="W86" s="41"/>
      <c r="X86" s="41"/>
    </row>
    <row r="87" spans="2:24" s="45" customFormat="1" ht="15" thickBot="1" x14ac:dyDescent="0.4">
      <c r="C87" s="47"/>
      <c r="D87" s="46"/>
      <c r="E87" s="46"/>
      <c r="F87" s="46"/>
      <c r="G87" s="46"/>
      <c r="H87" s="46"/>
      <c r="I87" s="46"/>
      <c r="J87" s="46"/>
      <c r="K87" s="46"/>
      <c r="L87" s="87"/>
      <c r="M87" s="88"/>
      <c r="N87" s="89" t="s">
        <v>100</v>
      </c>
      <c r="O87" s="83">
        <f>SUM(O84:O85)</f>
        <v>0</v>
      </c>
      <c r="P87" s="84">
        <f>SUM(P84:P85)</f>
        <v>77000</v>
      </c>
      <c r="Q87" s="84">
        <f>SUM(Q84:Q85)</f>
        <v>513000</v>
      </c>
      <c r="R87" s="84">
        <f>SUM(R84:R85)</f>
        <v>576000</v>
      </c>
      <c r="S87" s="85">
        <f>SUM(S84:S85)</f>
        <v>576000</v>
      </c>
      <c r="T87" s="61">
        <f>SUM(O87:S87)</f>
        <v>1742000</v>
      </c>
      <c r="U87" s="147">
        <f>SUM(U84:U85)</f>
        <v>0</v>
      </c>
      <c r="V87" s="149">
        <f t="shared" ref="V87:X87" si="62">SUM(V84:V85)</f>
        <v>0</v>
      </c>
      <c r="W87" s="149">
        <f t="shared" si="62"/>
        <v>0</v>
      </c>
      <c r="X87" s="150">
        <f t="shared" si="62"/>
        <v>1742000</v>
      </c>
    </row>
    <row r="88" spans="2:24" x14ac:dyDescent="0.35">
      <c r="C88" s="2"/>
      <c r="D88" s="2"/>
      <c r="E88" s="2"/>
      <c r="F88" s="2"/>
      <c r="G88" s="2"/>
      <c r="H88" s="2"/>
      <c r="I88" s="2"/>
      <c r="J88" s="5"/>
      <c r="K88" s="5"/>
      <c r="L88" s="5"/>
      <c r="M88" s="5"/>
      <c r="N88" s="4"/>
      <c r="O88" s="39"/>
      <c r="P88" s="39"/>
      <c r="Q88" s="39"/>
      <c r="R88" s="39"/>
      <c r="S88" s="39"/>
      <c r="T88" s="39"/>
      <c r="U88" s="39"/>
      <c r="V88" s="39"/>
      <c r="W88" s="39"/>
      <c r="X88" s="39"/>
    </row>
    <row r="89" spans="2:24" ht="15" thickBot="1" x14ac:dyDescent="0.4">
      <c r="C89" s="2"/>
      <c r="D89" s="2"/>
      <c r="E89" s="2"/>
      <c r="F89" s="2"/>
      <c r="G89" s="2"/>
      <c r="H89" s="2"/>
      <c r="I89" s="2"/>
      <c r="J89" s="5"/>
      <c r="K89" s="5"/>
      <c r="L89" s="5"/>
      <c r="M89" s="5"/>
      <c r="N89" s="4"/>
      <c r="O89" s="39"/>
      <c r="P89" s="39"/>
      <c r="Q89" s="39"/>
      <c r="R89" s="39"/>
      <c r="S89" s="39"/>
      <c r="T89" s="39"/>
      <c r="U89" s="39"/>
      <c r="V89" s="39"/>
      <c r="W89" s="39"/>
      <c r="X89" s="39"/>
    </row>
    <row r="90" spans="2:24" ht="30" thickTop="1" thickBot="1" x14ac:dyDescent="0.4">
      <c r="C90" s="91"/>
      <c r="D90" s="92"/>
      <c r="E90" s="92"/>
      <c r="F90" s="92"/>
      <c r="G90" s="92"/>
      <c r="H90" s="92"/>
      <c r="I90" s="92"/>
      <c r="J90" s="93"/>
      <c r="K90" s="93"/>
      <c r="L90" s="93"/>
      <c r="M90" s="93"/>
      <c r="N90" s="94"/>
      <c r="O90" s="43" t="s">
        <v>64</v>
      </c>
      <c r="P90" s="43" t="s">
        <v>39</v>
      </c>
      <c r="Q90" s="43" t="s">
        <v>65</v>
      </c>
      <c r="R90" s="43" t="s">
        <v>66</v>
      </c>
      <c r="S90" s="43" t="s">
        <v>67</v>
      </c>
      <c r="T90" s="86" t="s">
        <v>83</v>
      </c>
      <c r="U90" s="160"/>
      <c r="V90" s="161"/>
      <c r="W90" s="161"/>
      <c r="X90" s="162"/>
    </row>
    <row r="91" spans="2:24" s="45" customFormat="1" ht="15.5" thickTop="1" thickBot="1" x14ac:dyDescent="0.4">
      <c r="C91" s="95"/>
      <c r="D91" s="96"/>
      <c r="E91" s="96"/>
      <c r="F91" s="96"/>
      <c r="G91" s="96"/>
      <c r="H91" s="96"/>
      <c r="I91" s="96"/>
      <c r="J91" s="96"/>
      <c r="K91" s="96"/>
      <c r="L91" s="90"/>
      <c r="M91" s="97"/>
      <c r="N91" s="98" t="s">
        <v>101</v>
      </c>
      <c r="O91" s="102">
        <f t="shared" ref="O91:S91" si="63">O87+O80</f>
        <v>2300500</v>
      </c>
      <c r="P91" s="103">
        <f t="shared" si="63"/>
        <v>8449500</v>
      </c>
      <c r="Q91" s="103">
        <f t="shared" si="63"/>
        <v>2743500</v>
      </c>
      <c r="R91" s="103">
        <f t="shared" si="63"/>
        <v>1428000</v>
      </c>
      <c r="S91" s="104">
        <f t="shared" si="63"/>
        <v>978000</v>
      </c>
      <c r="T91" s="86">
        <f>T87+T80</f>
        <v>15899500</v>
      </c>
      <c r="U91" s="147">
        <f t="shared" ref="U91:X91" si="64">U87+U80</f>
        <v>0</v>
      </c>
      <c r="V91" s="149">
        <f t="shared" si="64"/>
        <v>3150000</v>
      </c>
      <c r="W91" s="149">
        <f t="shared" si="64"/>
        <v>11007500</v>
      </c>
      <c r="X91" s="150">
        <f t="shared" si="64"/>
        <v>1742000</v>
      </c>
    </row>
    <row r="92" spans="2:24" s="2" customFormat="1" x14ac:dyDescent="0.35">
      <c r="C92" s="16"/>
      <c r="D92" s="9"/>
      <c r="E92" s="9"/>
      <c r="F92" s="9"/>
      <c r="G92" s="9"/>
      <c r="H92" s="9"/>
      <c r="I92" s="9"/>
      <c r="J92" s="5"/>
      <c r="K92" s="5"/>
      <c r="L92" s="5"/>
      <c r="M92" s="5"/>
      <c r="N92" s="4"/>
      <c r="O92" s="41"/>
      <c r="P92" s="41"/>
      <c r="Q92" s="41"/>
      <c r="R92" s="41"/>
      <c r="S92" s="41"/>
      <c r="T92" s="42"/>
      <c r="U92" s="42"/>
      <c r="V92" s="42"/>
      <c r="W92" s="42"/>
      <c r="X92" s="42"/>
    </row>
    <row r="93" spans="2:24" ht="15" thickBot="1" x14ac:dyDescent="0.4">
      <c r="N93" s="11"/>
      <c r="O93" s="11"/>
      <c r="P93" s="11"/>
      <c r="Q93" s="11"/>
      <c r="R93" s="11"/>
      <c r="S93" s="11"/>
      <c r="T93" s="11"/>
      <c r="U93" s="11"/>
      <c r="V93" s="11"/>
      <c r="W93" s="11"/>
      <c r="X93" s="11"/>
    </row>
    <row r="94" spans="2:24" s="71" customFormat="1" x14ac:dyDescent="0.35">
      <c r="C94" s="75" t="s">
        <v>93</v>
      </c>
      <c r="D94" s="74" t="s">
        <v>7</v>
      </c>
      <c r="E94" s="74"/>
      <c r="F94" s="74"/>
      <c r="G94" s="74" t="s">
        <v>26</v>
      </c>
      <c r="H94" s="72">
        <v>2021</v>
      </c>
      <c r="I94" s="72">
        <v>2022</v>
      </c>
      <c r="J94" s="72">
        <v>2023</v>
      </c>
      <c r="K94" s="72">
        <v>2024</v>
      </c>
      <c r="L94" s="72">
        <v>2025</v>
      </c>
      <c r="M94" s="69"/>
      <c r="N94" s="62"/>
      <c r="O94" s="73">
        <v>2018</v>
      </c>
      <c r="P94" s="73">
        <v>2019</v>
      </c>
      <c r="Q94" s="73">
        <v>2020</v>
      </c>
      <c r="R94" s="73">
        <v>2021</v>
      </c>
      <c r="S94" s="73">
        <v>2022</v>
      </c>
      <c r="T94" s="70" t="s">
        <v>0</v>
      </c>
      <c r="U94" s="11"/>
      <c r="V94" s="11"/>
      <c r="W94" s="11"/>
      <c r="X94" s="11"/>
    </row>
    <row r="95" spans="2:24" x14ac:dyDescent="0.35">
      <c r="C95" s="284" t="s">
        <v>49</v>
      </c>
      <c r="D95" s="6" t="s">
        <v>50</v>
      </c>
      <c r="E95" s="6"/>
      <c r="F95" s="6"/>
      <c r="G95" s="6" t="s">
        <v>52</v>
      </c>
      <c r="H95" s="32"/>
      <c r="I95" s="33"/>
      <c r="J95" s="33"/>
      <c r="K95" s="33"/>
      <c r="L95" s="33"/>
      <c r="M95" s="29"/>
      <c r="N95" s="26"/>
      <c r="O95" s="26"/>
      <c r="P95" s="26"/>
      <c r="Q95" s="26"/>
      <c r="R95" s="26"/>
      <c r="S95" s="27"/>
      <c r="T95" s="34"/>
      <c r="U95" s="11"/>
      <c r="V95" s="11"/>
      <c r="W95" s="11"/>
      <c r="X95" s="11"/>
    </row>
    <row r="96" spans="2:24" x14ac:dyDescent="0.35">
      <c r="C96" s="284"/>
      <c r="D96" s="6" t="s">
        <v>51</v>
      </c>
      <c r="E96" s="6"/>
      <c r="F96" s="6"/>
      <c r="G96" s="6" t="s">
        <v>53</v>
      </c>
      <c r="H96" s="25"/>
      <c r="I96" s="25"/>
      <c r="J96" s="25"/>
      <c r="K96" s="25"/>
      <c r="L96" s="25"/>
      <c r="M96" s="30"/>
      <c r="N96" s="25"/>
      <c r="O96" s="10">
        <f>H95*H96</f>
        <v>0</v>
      </c>
      <c r="P96" s="10">
        <f t="shared" ref="P96:S96" si="65">I95*I96</f>
        <v>0</v>
      </c>
      <c r="Q96" s="10">
        <f t="shared" si="65"/>
        <v>0</v>
      </c>
      <c r="R96" s="10">
        <f t="shared" si="65"/>
        <v>0</v>
      </c>
      <c r="S96" s="10">
        <f t="shared" si="65"/>
        <v>0</v>
      </c>
      <c r="T96" s="21">
        <f t="shared" ref="T96:T97" si="66">SUM(O96:S96)</f>
        <v>0</v>
      </c>
      <c r="U96" s="11"/>
      <c r="V96" s="11"/>
      <c r="W96" s="11"/>
      <c r="X96" s="11"/>
    </row>
    <row r="97" spans="3:24" ht="15" thickBot="1" x14ac:dyDescent="0.4">
      <c r="C97" s="285"/>
      <c r="D97" s="17" t="s">
        <v>61</v>
      </c>
      <c r="E97" s="17"/>
      <c r="F97" s="17"/>
      <c r="G97" s="17" t="s">
        <v>54</v>
      </c>
      <c r="H97" s="28"/>
      <c r="I97" s="28"/>
      <c r="J97" s="28"/>
      <c r="K97" s="28"/>
      <c r="L97" s="28"/>
      <c r="M97" s="31"/>
      <c r="N97" s="28"/>
      <c r="O97" s="18">
        <f>H95*H97</f>
        <v>0</v>
      </c>
      <c r="P97" s="18">
        <f t="shared" ref="P97:S97" si="67">I95*I97</f>
        <v>0</v>
      </c>
      <c r="Q97" s="18">
        <f t="shared" si="67"/>
        <v>0</v>
      </c>
      <c r="R97" s="18">
        <f t="shared" si="67"/>
        <v>0</v>
      </c>
      <c r="S97" s="23">
        <f t="shared" si="67"/>
        <v>0</v>
      </c>
      <c r="T97" s="22">
        <f t="shared" si="66"/>
        <v>0</v>
      </c>
      <c r="U97" s="11"/>
      <c r="V97" s="11"/>
      <c r="W97" s="11"/>
      <c r="X97" s="11"/>
    </row>
    <row r="98" spans="3:24" ht="15" thickBot="1" x14ac:dyDescent="0.4">
      <c r="C98" s="8"/>
      <c r="D98" s="7"/>
      <c r="E98" s="7"/>
      <c r="F98" s="7"/>
      <c r="G98" s="7"/>
      <c r="H98" s="13"/>
      <c r="I98" s="13"/>
      <c r="J98" s="14"/>
      <c r="K98" s="14"/>
      <c r="L98" s="14"/>
      <c r="M98" s="11"/>
      <c r="N98" s="11"/>
      <c r="O98" s="11"/>
      <c r="P98" s="11"/>
      <c r="Q98" s="11"/>
      <c r="R98" s="11"/>
      <c r="S98" s="11"/>
      <c r="T98" s="24"/>
      <c r="U98" s="11"/>
      <c r="V98" s="11"/>
      <c r="W98" s="11"/>
      <c r="X98" s="11"/>
    </row>
    <row r="99" spans="3:24" ht="15" thickBot="1" x14ac:dyDescent="0.4">
      <c r="L99" s="87"/>
      <c r="M99" s="88"/>
      <c r="N99" s="89" t="s">
        <v>102</v>
      </c>
      <c r="O99" s="35">
        <f>O97</f>
        <v>0</v>
      </c>
      <c r="P99" s="35">
        <f t="shared" ref="P99:S99" si="68">P97</f>
        <v>0</v>
      </c>
      <c r="Q99" s="35">
        <f t="shared" si="68"/>
        <v>0</v>
      </c>
      <c r="R99" s="35">
        <f t="shared" si="68"/>
        <v>0</v>
      </c>
      <c r="S99" s="35">
        <f t="shared" si="68"/>
        <v>0</v>
      </c>
      <c r="T99" s="15">
        <f>SUM(O99:S99)</f>
        <v>0</v>
      </c>
      <c r="U99" s="11"/>
      <c r="V99" s="11"/>
      <c r="W99" s="11"/>
      <c r="X99" s="11"/>
    </row>
    <row r="100" spans="3:24" ht="15" thickBot="1" x14ac:dyDescent="0.4">
      <c r="U100" s="11"/>
      <c r="V100" s="11"/>
      <c r="W100" s="11"/>
      <c r="X100" s="11"/>
    </row>
    <row r="101" spans="3:24" ht="44.5" thickTop="1" thickBot="1" x14ac:dyDescent="0.4">
      <c r="C101" s="106"/>
      <c r="D101" s="112" t="s">
        <v>103</v>
      </c>
      <c r="E101" s="107"/>
      <c r="F101" s="107"/>
      <c r="G101" s="107"/>
      <c r="H101" s="107"/>
      <c r="I101" s="107"/>
      <c r="J101" s="107"/>
      <c r="K101" s="107"/>
      <c r="L101" s="107"/>
      <c r="M101" s="107"/>
      <c r="N101" s="108"/>
      <c r="O101" s="19" t="s">
        <v>64</v>
      </c>
      <c r="P101" s="19" t="s">
        <v>39</v>
      </c>
      <c r="Q101" s="19" t="s">
        <v>65</v>
      </c>
      <c r="R101" s="19" t="s">
        <v>66</v>
      </c>
      <c r="S101" s="44" t="s">
        <v>67</v>
      </c>
      <c r="T101" s="20" t="s">
        <v>84</v>
      </c>
      <c r="U101" s="11"/>
      <c r="V101" s="11"/>
      <c r="W101" s="11"/>
      <c r="X101" s="11"/>
    </row>
    <row r="102" spans="3:24" s="45" customFormat="1" ht="15" thickBot="1" x14ac:dyDescent="0.4">
      <c r="C102" s="109"/>
      <c r="D102" s="110"/>
      <c r="E102" s="110"/>
      <c r="F102" s="110"/>
      <c r="G102" s="110"/>
      <c r="H102" s="110"/>
      <c r="I102" s="110"/>
      <c r="J102" s="110"/>
      <c r="K102" s="110"/>
      <c r="L102" s="110"/>
      <c r="M102" s="110"/>
      <c r="N102" s="111"/>
      <c r="O102" s="83">
        <f>O87+O99</f>
        <v>0</v>
      </c>
      <c r="P102" s="84">
        <f>P87+P99</f>
        <v>77000</v>
      </c>
      <c r="Q102" s="84">
        <f>Q87+Q99</f>
        <v>513000</v>
      </c>
      <c r="R102" s="84">
        <f>R87+R99</f>
        <v>576000</v>
      </c>
      <c r="S102" s="85">
        <f>S87+S99</f>
        <v>576000</v>
      </c>
      <c r="T102" s="61">
        <f>S102</f>
        <v>576000</v>
      </c>
      <c r="U102" s="11"/>
      <c r="V102" s="11"/>
      <c r="W102" s="11"/>
      <c r="X102" s="11"/>
    </row>
    <row r="103" spans="3:24" x14ac:dyDescent="0.35">
      <c r="Q103" s="282"/>
      <c r="R103" s="282"/>
      <c r="S103" s="113"/>
      <c r="U103" s="11"/>
      <c r="V103" s="11"/>
      <c r="W103" s="11"/>
      <c r="X103" s="11"/>
    </row>
    <row r="104" spans="3:24" x14ac:dyDescent="0.35">
      <c r="Q104" s="283"/>
      <c r="R104" s="283"/>
      <c r="S104" s="113"/>
      <c r="U104" s="11"/>
      <c r="V104" s="11"/>
      <c r="W104" s="11"/>
      <c r="X104" s="11"/>
    </row>
  </sheetData>
  <mergeCells count="8">
    <mergeCell ref="C95:C97"/>
    <mergeCell ref="Q103:R104"/>
    <mergeCell ref="C20:C35"/>
    <mergeCell ref="C41:C51"/>
    <mergeCell ref="C4:C13"/>
    <mergeCell ref="C57:C63"/>
    <mergeCell ref="C69:C73"/>
    <mergeCell ref="C84:C85"/>
  </mergeCells>
  <phoneticPr fontId="8" type="noConversion"/>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64F5A-B205-4BDB-839C-3AD941DE19C5}">
  <dimension ref="B2:X116"/>
  <sheetViews>
    <sheetView zoomScale="60" zoomScaleNormal="60" workbookViewId="0">
      <selection activeCell="D89" sqref="D89:D90"/>
    </sheetView>
  </sheetViews>
  <sheetFormatPr defaultColWidth="11.453125" defaultRowHeight="14.5" x14ac:dyDescent="0.35"/>
  <cols>
    <col min="1" max="1" width="4" style="1" customWidth="1"/>
    <col min="2" max="2" width="6.36328125" style="1" customWidth="1"/>
    <col min="3" max="3" width="17.6328125" style="1" customWidth="1"/>
    <col min="4" max="4" width="47.81640625" style="1" customWidth="1"/>
    <col min="5" max="5" width="10" style="1" customWidth="1"/>
    <col min="6" max="6" width="11" style="1" customWidth="1"/>
    <col min="7" max="7" width="21.6328125" style="1" customWidth="1"/>
    <col min="8" max="12" width="9.453125" style="1" customWidth="1"/>
    <col min="13" max="13" width="14.36328125" style="1" customWidth="1"/>
    <col min="14" max="14" width="13.453125" style="1" customWidth="1"/>
    <col min="15" max="24" width="12.81640625" style="1" customWidth="1"/>
    <col min="25" max="16384" width="11.453125" style="1"/>
  </cols>
  <sheetData>
    <row r="2" spans="2:24" ht="15" thickBot="1" x14ac:dyDescent="0.4">
      <c r="H2" s="53" t="s">
        <v>87</v>
      </c>
      <c r="I2" s="50"/>
      <c r="J2" s="50"/>
      <c r="K2" s="50"/>
      <c r="L2" s="50"/>
      <c r="M2" s="54"/>
      <c r="N2" s="55"/>
      <c r="O2" s="58" t="s">
        <v>86</v>
      </c>
      <c r="P2" s="58" t="s">
        <v>86</v>
      </c>
      <c r="Q2" s="58" t="s">
        <v>86</v>
      </c>
      <c r="R2" s="58" t="s">
        <v>86</v>
      </c>
      <c r="S2" s="58" t="s">
        <v>86</v>
      </c>
      <c r="T2" s="58" t="s">
        <v>86</v>
      </c>
      <c r="U2" s="146" t="s">
        <v>85</v>
      </c>
      <c r="V2" s="146" t="s">
        <v>264</v>
      </c>
      <c r="W2" s="146" t="s">
        <v>265</v>
      </c>
      <c r="X2" s="146" t="s">
        <v>108</v>
      </c>
    </row>
    <row r="3" spans="2:24" s="71" customFormat="1" ht="43.5" x14ac:dyDescent="0.35">
      <c r="C3" s="75" t="s">
        <v>90</v>
      </c>
      <c r="D3" s="74" t="s">
        <v>7</v>
      </c>
      <c r="E3" s="74" t="str">
        <f>E34</f>
        <v>Fin.
AFD, EU, GCF, GVNT</v>
      </c>
      <c r="F3" s="74" t="str">
        <f>F34</f>
        <v>Durée de vie (an)</v>
      </c>
      <c r="G3" s="74" t="s">
        <v>26</v>
      </c>
      <c r="H3" s="124">
        <v>2021</v>
      </c>
      <c r="I3" s="124">
        <v>2022</v>
      </c>
      <c r="J3" s="124">
        <v>2023</v>
      </c>
      <c r="K3" s="124">
        <v>2024</v>
      </c>
      <c r="L3" s="124">
        <v>2025</v>
      </c>
      <c r="M3" s="69" t="s">
        <v>36</v>
      </c>
      <c r="N3" s="62" t="s">
        <v>37</v>
      </c>
      <c r="O3" s="73" t="s">
        <v>64</v>
      </c>
      <c r="P3" s="73" t="s">
        <v>39</v>
      </c>
      <c r="Q3" s="73" t="s">
        <v>65</v>
      </c>
      <c r="R3" s="73" t="s">
        <v>66</v>
      </c>
      <c r="S3" s="73" t="s">
        <v>67</v>
      </c>
      <c r="T3" s="151" t="s">
        <v>8</v>
      </c>
      <c r="U3" s="160"/>
      <c r="V3" s="161"/>
      <c r="W3" s="161"/>
      <c r="X3" s="162"/>
    </row>
    <row r="4" spans="2:24" x14ac:dyDescent="0.35">
      <c r="B4" s="170">
        <v>4.0999999999999996</v>
      </c>
      <c r="C4" s="288" t="s">
        <v>17</v>
      </c>
      <c r="D4" s="65" t="s">
        <v>112</v>
      </c>
      <c r="E4" s="65" t="s">
        <v>265</v>
      </c>
      <c r="F4" s="66"/>
      <c r="G4" s="123" t="s">
        <v>32</v>
      </c>
      <c r="H4" s="125"/>
      <c r="I4" s="125"/>
      <c r="J4" s="125"/>
      <c r="K4" s="125"/>
      <c r="L4" s="125"/>
      <c r="M4" s="179">
        <f>SUM(H4:L4)</f>
        <v>0</v>
      </c>
      <c r="N4" s="63"/>
      <c r="O4" s="48">
        <f>$N4*(H4)</f>
        <v>0</v>
      </c>
      <c r="P4" s="48">
        <f t="shared" ref="P4:S4" si="0">$N4*(I4)</f>
        <v>0</v>
      </c>
      <c r="Q4" s="48">
        <f t="shared" si="0"/>
        <v>0</v>
      </c>
      <c r="R4" s="48">
        <f t="shared" si="0"/>
        <v>0</v>
      </c>
      <c r="S4" s="48">
        <f t="shared" si="0"/>
        <v>0</v>
      </c>
      <c r="T4" s="140">
        <f>SUM(O4:S4)</f>
        <v>0</v>
      </c>
      <c r="U4" s="155">
        <f t="shared" ref="U4:X30" si="1">IF($E4=U$2,$T4,0)</f>
        <v>0</v>
      </c>
      <c r="V4" s="148">
        <f t="shared" si="1"/>
        <v>0</v>
      </c>
      <c r="W4" s="148">
        <f t="shared" si="1"/>
        <v>0</v>
      </c>
      <c r="X4" s="156">
        <f t="shared" si="1"/>
        <v>0</v>
      </c>
    </row>
    <row r="5" spans="2:24" ht="29" x14ac:dyDescent="0.35">
      <c r="B5" s="170">
        <v>4.0999999999999996</v>
      </c>
      <c r="C5" s="284"/>
      <c r="D5" s="65" t="s">
        <v>248</v>
      </c>
      <c r="E5" s="65" t="s">
        <v>265</v>
      </c>
      <c r="F5" s="66"/>
      <c r="G5" s="123" t="s">
        <v>32</v>
      </c>
      <c r="H5" s="125">
        <v>12</v>
      </c>
      <c r="I5" s="125">
        <v>12</v>
      </c>
      <c r="J5" s="125">
        <v>12</v>
      </c>
      <c r="K5" s="125">
        <v>12</v>
      </c>
      <c r="L5" s="125">
        <v>12</v>
      </c>
      <c r="M5" s="56">
        <f>SUM(H5:L5)</f>
        <v>60</v>
      </c>
      <c r="N5" s="63">
        <v>18000</v>
      </c>
      <c r="O5" s="48">
        <f>H5*$N5</f>
        <v>216000</v>
      </c>
      <c r="P5" s="48">
        <f>I5*$N5</f>
        <v>216000</v>
      </c>
      <c r="Q5" s="48">
        <f>J5*$N5</f>
        <v>216000</v>
      </c>
      <c r="R5" s="48">
        <f>K5*$N5</f>
        <v>216000</v>
      </c>
      <c r="S5" s="48">
        <f>L5*$N5</f>
        <v>216000</v>
      </c>
      <c r="T5" s="140">
        <f t="shared" ref="T5" si="2">SUM(O5:S5)</f>
        <v>1080000</v>
      </c>
      <c r="U5" s="155">
        <f t="shared" si="1"/>
        <v>0</v>
      </c>
      <c r="V5" s="148">
        <f t="shared" si="1"/>
        <v>0</v>
      </c>
      <c r="W5" s="148">
        <f t="shared" si="1"/>
        <v>1080000</v>
      </c>
      <c r="X5" s="156">
        <f t="shared" si="1"/>
        <v>0</v>
      </c>
    </row>
    <row r="6" spans="2:24" ht="29" x14ac:dyDescent="0.35">
      <c r="B6" s="170">
        <v>4.0999999999999996</v>
      </c>
      <c r="C6" s="284"/>
      <c r="D6" s="65" t="s">
        <v>249</v>
      </c>
      <c r="E6" s="65" t="s">
        <v>265</v>
      </c>
      <c r="F6" s="66"/>
      <c r="G6" s="123" t="s">
        <v>32</v>
      </c>
      <c r="H6" s="125">
        <v>12</v>
      </c>
      <c r="I6" s="125">
        <v>12</v>
      </c>
      <c r="J6" s="125">
        <v>12</v>
      </c>
      <c r="K6" s="125">
        <v>12</v>
      </c>
      <c r="L6" s="125">
        <v>12</v>
      </c>
      <c r="M6" s="56">
        <f t="shared" ref="M6:M20" si="3">SUM(H6:L6)</f>
        <v>60</v>
      </c>
      <c r="N6" s="63">
        <v>2000</v>
      </c>
      <c r="O6" s="48">
        <f t="shared" ref="O6:O20" si="4">H6*$N6</f>
        <v>24000</v>
      </c>
      <c r="P6" s="48">
        <f t="shared" ref="P6:P20" si="5">I6*$N6</f>
        <v>24000</v>
      </c>
      <c r="Q6" s="48">
        <f t="shared" ref="Q6:Q20" si="6">J6*$N6</f>
        <v>24000</v>
      </c>
      <c r="R6" s="48">
        <f t="shared" ref="R6:R20" si="7">K6*$N6</f>
        <v>24000</v>
      </c>
      <c r="S6" s="48">
        <f t="shared" ref="S6:S20" si="8">L6*$N6</f>
        <v>24000</v>
      </c>
      <c r="T6" s="140">
        <f t="shared" ref="T6:T20" si="9">SUM(O6:S6)</f>
        <v>120000</v>
      </c>
      <c r="U6" s="155">
        <f t="shared" si="1"/>
        <v>0</v>
      </c>
      <c r="V6" s="148">
        <f t="shared" si="1"/>
        <v>0</v>
      </c>
      <c r="W6" s="148">
        <f t="shared" si="1"/>
        <v>120000</v>
      </c>
      <c r="X6" s="156">
        <f t="shared" si="1"/>
        <v>0</v>
      </c>
    </row>
    <row r="7" spans="2:24" ht="29" x14ac:dyDescent="0.35">
      <c r="B7" s="170">
        <v>4.0999999999999996</v>
      </c>
      <c r="C7" s="284"/>
      <c r="D7" s="65" t="s">
        <v>250</v>
      </c>
      <c r="E7" s="65" t="s">
        <v>265</v>
      </c>
      <c r="F7" s="66"/>
      <c r="G7" s="123" t="s">
        <v>32</v>
      </c>
      <c r="H7" s="125">
        <v>12</v>
      </c>
      <c r="I7" s="125">
        <v>12</v>
      </c>
      <c r="J7" s="125">
        <v>12</v>
      </c>
      <c r="K7" s="125">
        <v>12</v>
      </c>
      <c r="L7" s="125">
        <v>12</v>
      </c>
      <c r="M7" s="56">
        <f t="shared" si="3"/>
        <v>60</v>
      </c>
      <c r="N7" s="63">
        <v>2000</v>
      </c>
      <c r="O7" s="48">
        <f t="shared" si="4"/>
        <v>24000</v>
      </c>
      <c r="P7" s="48">
        <f t="shared" si="5"/>
        <v>24000</v>
      </c>
      <c r="Q7" s="48">
        <f t="shared" si="6"/>
        <v>24000</v>
      </c>
      <c r="R7" s="48">
        <f t="shared" si="7"/>
        <v>24000</v>
      </c>
      <c r="S7" s="48">
        <f t="shared" si="8"/>
        <v>24000</v>
      </c>
      <c r="T7" s="140">
        <f t="shared" si="9"/>
        <v>120000</v>
      </c>
      <c r="U7" s="155">
        <f t="shared" si="1"/>
        <v>0</v>
      </c>
      <c r="V7" s="148">
        <f t="shared" si="1"/>
        <v>0</v>
      </c>
      <c r="W7" s="148">
        <f t="shared" si="1"/>
        <v>120000</v>
      </c>
      <c r="X7" s="156">
        <f t="shared" si="1"/>
        <v>0</v>
      </c>
    </row>
    <row r="8" spans="2:24" ht="29" x14ac:dyDescent="0.35">
      <c r="B8" s="170">
        <v>4.0999999999999996</v>
      </c>
      <c r="C8" s="284"/>
      <c r="D8" s="65" t="s">
        <v>251</v>
      </c>
      <c r="E8" s="65" t="s">
        <v>265</v>
      </c>
      <c r="F8" s="66"/>
      <c r="G8" s="123" t="s">
        <v>32</v>
      </c>
      <c r="H8" s="125">
        <v>12</v>
      </c>
      <c r="I8" s="125">
        <v>12</v>
      </c>
      <c r="J8" s="125">
        <v>12</v>
      </c>
      <c r="K8" s="125">
        <v>12</v>
      </c>
      <c r="L8" s="125">
        <v>12</v>
      </c>
      <c r="M8" s="56">
        <f t="shared" si="3"/>
        <v>60</v>
      </c>
      <c r="N8" s="63">
        <v>2000</v>
      </c>
      <c r="O8" s="48">
        <f t="shared" si="4"/>
        <v>24000</v>
      </c>
      <c r="P8" s="48">
        <f t="shared" si="5"/>
        <v>24000</v>
      </c>
      <c r="Q8" s="48">
        <f t="shared" si="6"/>
        <v>24000</v>
      </c>
      <c r="R8" s="48">
        <f t="shared" si="7"/>
        <v>24000</v>
      </c>
      <c r="S8" s="48">
        <f t="shared" si="8"/>
        <v>24000</v>
      </c>
      <c r="T8" s="140">
        <f t="shared" si="9"/>
        <v>120000</v>
      </c>
      <c r="U8" s="155">
        <f t="shared" si="1"/>
        <v>0</v>
      </c>
      <c r="V8" s="148">
        <f t="shared" si="1"/>
        <v>0</v>
      </c>
      <c r="W8" s="148">
        <f t="shared" si="1"/>
        <v>120000</v>
      </c>
      <c r="X8" s="156">
        <f t="shared" si="1"/>
        <v>0</v>
      </c>
    </row>
    <row r="9" spans="2:24" ht="29" x14ac:dyDescent="0.35">
      <c r="B9" s="170">
        <v>4.0999999999999996</v>
      </c>
      <c r="C9" s="284"/>
      <c r="D9" s="65" t="s">
        <v>252</v>
      </c>
      <c r="E9" s="65" t="s">
        <v>265</v>
      </c>
      <c r="F9" s="66"/>
      <c r="G9" s="123" t="s">
        <v>32</v>
      </c>
      <c r="H9" s="125">
        <v>12</v>
      </c>
      <c r="I9" s="125">
        <v>12</v>
      </c>
      <c r="J9" s="125">
        <v>12</v>
      </c>
      <c r="K9" s="125">
        <v>12</v>
      </c>
      <c r="L9" s="125">
        <v>12</v>
      </c>
      <c r="M9" s="56">
        <f t="shared" si="3"/>
        <v>60</v>
      </c>
      <c r="N9" s="63">
        <v>2000</v>
      </c>
      <c r="O9" s="48">
        <f t="shared" si="4"/>
        <v>24000</v>
      </c>
      <c r="P9" s="48">
        <f t="shared" si="5"/>
        <v>24000</v>
      </c>
      <c r="Q9" s="48">
        <f t="shared" si="6"/>
        <v>24000</v>
      </c>
      <c r="R9" s="48">
        <f t="shared" si="7"/>
        <v>24000</v>
      </c>
      <c r="S9" s="48">
        <f t="shared" si="8"/>
        <v>24000</v>
      </c>
      <c r="T9" s="140">
        <f t="shared" si="9"/>
        <v>120000</v>
      </c>
      <c r="U9" s="155">
        <f t="shared" si="1"/>
        <v>0</v>
      </c>
      <c r="V9" s="148">
        <f t="shared" si="1"/>
        <v>0</v>
      </c>
      <c r="W9" s="148">
        <f t="shared" si="1"/>
        <v>120000</v>
      </c>
      <c r="X9" s="156">
        <f t="shared" si="1"/>
        <v>0</v>
      </c>
    </row>
    <row r="10" spans="2:24" ht="58" x14ac:dyDescent="0.35">
      <c r="B10" s="170">
        <v>4.0999999999999996</v>
      </c>
      <c r="C10" s="284"/>
      <c r="D10" s="65" t="s">
        <v>253</v>
      </c>
      <c r="E10" s="65" t="s">
        <v>265</v>
      </c>
      <c r="F10" s="66"/>
      <c r="G10" s="123" t="s">
        <v>32</v>
      </c>
      <c r="H10" s="125">
        <v>3</v>
      </c>
      <c r="I10" s="125">
        <v>3</v>
      </c>
      <c r="J10" s="125">
        <v>1</v>
      </c>
      <c r="K10" s="125"/>
      <c r="L10" s="125"/>
      <c r="M10" s="56">
        <f t="shared" si="3"/>
        <v>7</v>
      </c>
      <c r="N10" s="63">
        <v>11000</v>
      </c>
      <c r="O10" s="48">
        <f t="shared" si="4"/>
        <v>33000</v>
      </c>
      <c r="P10" s="48">
        <f t="shared" si="5"/>
        <v>33000</v>
      </c>
      <c r="Q10" s="48">
        <f t="shared" si="6"/>
        <v>11000</v>
      </c>
      <c r="R10" s="48">
        <f t="shared" si="7"/>
        <v>0</v>
      </c>
      <c r="S10" s="48">
        <f t="shared" si="8"/>
        <v>0</v>
      </c>
      <c r="T10" s="140">
        <f t="shared" si="9"/>
        <v>77000</v>
      </c>
      <c r="U10" s="155">
        <f t="shared" si="1"/>
        <v>0</v>
      </c>
      <c r="V10" s="148">
        <f t="shared" si="1"/>
        <v>0</v>
      </c>
      <c r="W10" s="148">
        <f t="shared" si="1"/>
        <v>77000</v>
      </c>
      <c r="X10" s="156">
        <f t="shared" si="1"/>
        <v>0</v>
      </c>
    </row>
    <row r="11" spans="2:24" x14ac:dyDescent="0.35">
      <c r="B11" s="170">
        <v>4.0999999999999996</v>
      </c>
      <c r="C11" s="284"/>
      <c r="D11" s="65" t="s">
        <v>254</v>
      </c>
      <c r="E11" s="65" t="s">
        <v>265</v>
      </c>
      <c r="F11" s="66"/>
      <c r="G11" s="123" t="s">
        <v>32</v>
      </c>
      <c r="H11" s="125">
        <v>12</v>
      </c>
      <c r="I11" s="125">
        <v>12</v>
      </c>
      <c r="J11" s="125">
        <v>12</v>
      </c>
      <c r="K11" s="125">
        <v>12</v>
      </c>
      <c r="L11" s="125">
        <v>12</v>
      </c>
      <c r="M11" s="56">
        <f t="shared" si="3"/>
        <v>60</v>
      </c>
      <c r="N11" s="63">
        <v>2000</v>
      </c>
      <c r="O11" s="48">
        <f t="shared" si="4"/>
        <v>24000</v>
      </c>
      <c r="P11" s="48">
        <f t="shared" si="5"/>
        <v>24000</v>
      </c>
      <c r="Q11" s="48">
        <f t="shared" si="6"/>
        <v>24000</v>
      </c>
      <c r="R11" s="48">
        <f t="shared" si="7"/>
        <v>24000</v>
      </c>
      <c r="S11" s="48">
        <f t="shared" si="8"/>
        <v>24000</v>
      </c>
      <c r="T11" s="140">
        <f t="shared" si="9"/>
        <v>120000</v>
      </c>
      <c r="U11" s="155">
        <f t="shared" si="1"/>
        <v>0</v>
      </c>
      <c r="V11" s="148">
        <f t="shared" si="1"/>
        <v>0</v>
      </c>
      <c r="W11" s="148">
        <f t="shared" si="1"/>
        <v>120000</v>
      </c>
      <c r="X11" s="156">
        <f t="shared" si="1"/>
        <v>0</v>
      </c>
    </row>
    <row r="12" spans="2:24" ht="29" x14ac:dyDescent="0.35">
      <c r="B12" s="170">
        <v>4.0999999999999996</v>
      </c>
      <c r="C12" s="284"/>
      <c r="D12" s="65" t="s">
        <v>255</v>
      </c>
      <c r="E12" s="65" t="s">
        <v>265</v>
      </c>
      <c r="F12" s="66"/>
      <c r="G12" s="123" t="s">
        <v>32</v>
      </c>
      <c r="H12" s="125">
        <v>12</v>
      </c>
      <c r="I12" s="125">
        <v>12</v>
      </c>
      <c r="J12" s="125">
        <v>12</v>
      </c>
      <c r="K12" s="125">
        <v>12</v>
      </c>
      <c r="L12" s="125">
        <v>12</v>
      </c>
      <c r="M12" s="56">
        <f t="shared" si="3"/>
        <v>60</v>
      </c>
      <c r="N12" s="63">
        <v>1500</v>
      </c>
      <c r="O12" s="48">
        <f t="shared" si="4"/>
        <v>18000</v>
      </c>
      <c r="P12" s="48">
        <f t="shared" si="5"/>
        <v>18000</v>
      </c>
      <c r="Q12" s="48">
        <f t="shared" si="6"/>
        <v>18000</v>
      </c>
      <c r="R12" s="48">
        <f t="shared" si="7"/>
        <v>18000</v>
      </c>
      <c r="S12" s="48">
        <f t="shared" si="8"/>
        <v>18000</v>
      </c>
      <c r="T12" s="140">
        <f t="shared" si="9"/>
        <v>90000</v>
      </c>
      <c r="U12" s="155">
        <f t="shared" si="1"/>
        <v>0</v>
      </c>
      <c r="V12" s="148">
        <f t="shared" si="1"/>
        <v>0</v>
      </c>
      <c r="W12" s="148">
        <f t="shared" si="1"/>
        <v>90000</v>
      </c>
      <c r="X12" s="156">
        <f t="shared" si="1"/>
        <v>0</v>
      </c>
    </row>
    <row r="13" spans="2:24" ht="29" x14ac:dyDescent="0.35">
      <c r="B13" s="170">
        <v>4.0999999999999996</v>
      </c>
      <c r="C13" s="284"/>
      <c r="D13" s="65" t="s">
        <v>256</v>
      </c>
      <c r="E13" s="65" t="s">
        <v>265</v>
      </c>
      <c r="F13" s="66"/>
      <c r="G13" s="123" t="s">
        <v>32</v>
      </c>
      <c r="H13" s="125">
        <v>6</v>
      </c>
      <c r="I13" s="125">
        <v>6</v>
      </c>
      <c r="J13" s="125">
        <v>6</v>
      </c>
      <c r="K13" s="125">
        <v>6</v>
      </c>
      <c r="L13" s="125">
        <v>6</v>
      </c>
      <c r="M13" s="56">
        <f t="shared" si="3"/>
        <v>30</v>
      </c>
      <c r="N13" s="63">
        <v>1500</v>
      </c>
      <c r="O13" s="48">
        <f t="shared" si="4"/>
        <v>9000</v>
      </c>
      <c r="P13" s="48">
        <f t="shared" si="5"/>
        <v>9000</v>
      </c>
      <c r="Q13" s="48">
        <f t="shared" si="6"/>
        <v>9000</v>
      </c>
      <c r="R13" s="48">
        <f t="shared" si="7"/>
        <v>9000</v>
      </c>
      <c r="S13" s="48">
        <f t="shared" si="8"/>
        <v>9000</v>
      </c>
      <c r="T13" s="140">
        <f t="shared" si="9"/>
        <v>45000</v>
      </c>
      <c r="U13" s="155">
        <f t="shared" si="1"/>
        <v>0</v>
      </c>
      <c r="V13" s="148">
        <f t="shared" si="1"/>
        <v>0</v>
      </c>
      <c r="W13" s="148">
        <f t="shared" si="1"/>
        <v>45000</v>
      </c>
      <c r="X13" s="156">
        <f t="shared" si="1"/>
        <v>0</v>
      </c>
    </row>
    <row r="14" spans="2:24" ht="29" x14ac:dyDescent="0.35">
      <c r="B14" s="170">
        <v>4.0999999999999996</v>
      </c>
      <c r="C14" s="284"/>
      <c r="D14" s="65" t="s">
        <v>257</v>
      </c>
      <c r="E14" s="65" t="s">
        <v>265</v>
      </c>
      <c r="F14" s="66"/>
      <c r="G14" s="123" t="s">
        <v>32</v>
      </c>
      <c r="H14" s="125">
        <v>6</v>
      </c>
      <c r="I14" s="125">
        <v>6</v>
      </c>
      <c r="J14" s="125">
        <v>6</v>
      </c>
      <c r="K14" s="125">
        <v>6</v>
      </c>
      <c r="L14" s="125">
        <v>6</v>
      </c>
      <c r="M14" s="56">
        <f t="shared" si="3"/>
        <v>30</v>
      </c>
      <c r="N14" s="63">
        <v>3000</v>
      </c>
      <c r="O14" s="48">
        <f t="shared" si="4"/>
        <v>18000</v>
      </c>
      <c r="P14" s="48">
        <f t="shared" si="5"/>
        <v>18000</v>
      </c>
      <c r="Q14" s="48">
        <f t="shared" si="6"/>
        <v>18000</v>
      </c>
      <c r="R14" s="48">
        <f t="shared" si="7"/>
        <v>18000</v>
      </c>
      <c r="S14" s="48">
        <f t="shared" si="8"/>
        <v>18000</v>
      </c>
      <c r="T14" s="140">
        <f t="shared" si="9"/>
        <v>90000</v>
      </c>
      <c r="U14" s="155">
        <f t="shared" si="1"/>
        <v>0</v>
      </c>
      <c r="V14" s="148">
        <f t="shared" si="1"/>
        <v>0</v>
      </c>
      <c r="W14" s="148">
        <f t="shared" si="1"/>
        <v>90000</v>
      </c>
      <c r="X14" s="156">
        <f t="shared" si="1"/>
        <v>0</v>
      </c>
    </row>
    <row r="15" spans="2:24" ht="61.25" customHeight="1" x14ac:dyDescent="0.35">
      <c r="B15" s="170">
        <v>4.0999999999999996</v>
      </c>
      <c r="C15" s="284"/>
      <c r="D15" s="65" t="s">
        <v>258</v>
      </c>
      <c r="E15" s="65" t="s">
        <v>265</v>
      </c>
      <c r="F15" s="66"/>
      <c r="G15" s="123" t="s">
        <v>32</v>
      </c>
      <c r="H15" s="125">
        <v>0.2</v>
      </c>
      <c r="I15" s="125">
        <v>0.2</v>
      </c>
      <c r="J15" s="125">
        <v>0.2</v>
      </c>
      <c r="K15" s="125">
        <v>0.2</v>
      </c>
      <c r="L15" s="125">
        <v>0.2</v>
      </c>
      <c r="M15" s="56">
        <f t="shared" si="3"/>
        <v>1</v>
      </c>
      <c r="N15" s="63">
        <v>40000</v>
      </c>
      <c r="O15" s="48">
        <f t="shared" si="4"/>
        <v>8000</v>
      </c>
      <c r="P15" s="48">
        <f t="shared" si="5"/>
        <v>8000</v>
      </c>
      <c r="Q15" s="48">
        <f t="shared" si="6"/>
        <v>8000</v>
      </c>
      <c r="R15" s="48">
        <f t="shared" si="7"/>
        <v>8000</v>
      </c>
      <c r="S15" s="48">
        <f t="shared" si="8"/>
        <v>8000</v>
      </c>
      <c r="T15" s="140">
        <f t="shared" si="9"/>
        <v>40000</v>
      </c>
      <c r="U15" s="155">
        <f t="shared" si="1"/>
        <v>0</v>
      </c>
      <c r="V15" s="148">
        <f t="shared" si="1"/>
        <v>0</v>
      </c>
      <c r="W15" s="148">
        <f t="shared" si="1"/>
        <v>40000</v>
      </c>
      <c r="X15" s="156">
        <f t="shared" si="1"/>
        <v>0</v>
      </c>
    </row>
    <row r="16" spans="2:24" x14ac:dyDescent="0.35">
      <c r="B16" s="170">
        <v>4.0999999999999996</v>
      </c>
      <c r="C16" s="284"/>
      <c r="D16" s="65" t="s">
        <v>259</v>
      </c>
      <c r="E16" s="65" t="s">
        <v>265</v>
      </c>
      <c r="F16" s="66"/>
      <c r="G16" s="123" t="s">
        <v>32</v>
      </c>
      <c r="H16" s="125">
        <v>5</v>
      </c>
      <c r="I16" s="125"/>
      <c r="J16" s="125"/>
      <c r="K16" s="125"/>
      <c r="L16" s="125"/>
      <c r="M16" s="56">
        <f t="shared" si="3"/>
        <v>5</v>
      </c>
      <c r="N16" s="63">
        <v>10000</v>
      </c>
      <c r="O16" s="48">
        <f t="shared" si="4"/>
        <v>50000</v>
      </c>
      <c r="P16" s="48">
        <f t="shared" si="5"/>
        <v>0</v>
      </c>
      <c r="Q16" s="48">
        <f t="shared" si="6"/>
        <v>0</v>
      </c>
      <c r="R16" s="48">
        <f t="shared" si="7"/>
        <v>0</v>
      </c>
      <c r="S16" s="48">
        <f t="shared" si="8"/>
        <v>0</v>
      </c>
      <c r="T16" s="140">
        <f t="shared" si="9"/>
        <v>50000</v>
      </c>
      <c r="U16" s="155">
        <f t="shared" si="1"/>
        <v>0</v>
      </c>
      <c r="V16" s="148">
        <f t="shared" si="1"/>
        <v>0</v>
      </c>
      <c r="W16" s="148">
        <f t="shared" si="1"/>
        <v>50000</v>
      </c>
      <c r="X16" s="156">
        <f t="shared" si="1"/>
        <v>0</v>
      </c>
    </row>
    <row r="17" spans="2:24" ht="29" x14ac:dyDescent="0.35">
      <c r="B17" s="170">
        <v>4.0999999999999996</v>
      </c>
      <c r="C17" s="284"/>
      <c r="D17" s="65" t="s">
        <v>260</v>
      </c>
      <c r="E17" s="65" t="s">
        <v>265</v>
      </c>
      <c r="F17" s="66"/>
      <c r="G17" s="123" t="s">
        <v>32</v>
      </c>
      <c r="H17" s="125">
        <v>0.2</v>
      </c>
      <c r="I17" s="125">
        <v>0.2</v>
      </c>
      <c r="J17" s="125">
        <v>0.2</v>
      </c>
      <c r="K17" s="125">
        <v>0.2</v>
      </c>
      <c r="L17" s="125">
        <v>0.2</v>
      </c>
      <c r="M17" s="56">
        <f t="shared" si="3"/>
        <v>1</v>
      </c>
      <c r="N17" s="63">
        <v>1300000</v>
      </c>
      <c r="O17" s="48">
        <f t="shared" si="4"/>
        <v>260000</v>
      </c>
      <c r="P17" s="48">
        <f t="shared" si="5"/>
        <v>260000</v>
      </c>
      <c r="Q17" s="48">
        <f t="shared" si="6"/>
        <v>260000</v>
      </c>
      <c r="R17" s="48">
        <f t="shared" si="7"/>
        <v>260000</v>
      </c>
      <c r="S17" s="48">
        <f t="shared" si="8"/>
        <v>260000</v>
      </c>
      <c r="T17" s="140">
        <f t="shared" si="9"/>
        <v>1300000</v>
      </c>
      <c r="U17" s="155">
        <f t="shared" si="1"/>
        <v>0</v>
      </c>
      <c r="V17" s="148">
        <f t="shared" si="1"/>
        <v>0</v>
      </c>
      <c r="W17" s="148">
        <f t="shared" si="1"/>
        <v>1300000</v>
      </c>
      <c r="X17" s="156">
        <f t="shared" si="1"/>
        <v>0</v>
      </c>
    </row>
    <row r="18" spans="2:24" x14ac:dyDescent="0.35">
      <c r="B18" s="170">
        <v>4.0999999999999996</v>
      </c>
      <c r="C18" s="284"/>
      <c r="D18" s="65" t="s">
        <v>261</v>
      </c>
      <c r="E18" s="65" t="s">
        <v>265</v>
      </c>
      <c r="F18" s="66"/>
      <c r="G18" s="123" t="s">
        <v>32</v>
      </c>
      <c r="H18" s="125">
        <v>1</v>
      </c>
      <c r="I18" s="125">
        <v>1</v>
      </c>
      <c r="J18" s="125">
        <v>1</v>
      </c>
      <c r="K18" s="125">
        <v>1</v>
      </c>
      <c r="L18" s="125">
        <v>1</v>
      </c>
      <c r="M18" s="56">
        <f t="shared" si="3"/>
        <v>5</v>
      </c>
      <c r="N18" s="63">
        <v>23000</v>
      </c>
      <c r="O18" s="48">
        <f t="shared" si="4"/>
        <v>23000</v>
      </c>
      <c r="P18" s="48">
        <f t="shared" si="5"/>
        <v>23000</v>
      </c>
      <c r="Q18" s="48">
        <f t="shared" si="6"/>
        <v>23000</v>
      </c>
      <c r="R18" s="48">
        <f t="shared" si="7"/>
        <v>23000</v>
      </c>
      <c r="S18" s="48">
        <f t="shared" si="8"/>
        <v>23000</v>
      </c>
      <c r="T18" s="140">
        <f t="shared" si="9"/>
        <v>115000</v>
      </c>
      <c r="U18" s="155">
        <f t="shared" si="1"/>
        <v>0</v>
      </c>
      <c r="V18" s="148">
        <f t="shared" si="1"/>
        <v>0</v>
      </c>
      <c r="W18" s="148">
        <f t="shared" si="1"/>
        <v>115000</v>
      </c>
      <c r="X18" s="156">
        <f t="shared" si="1"/>
        <v>0</v>
      </c>
    </row>
    <row r="19" spans="2:24" ht="43.5" x14ac:dyDescent="0.35">
      <c r="B19" s="170">
        <v>4.0999999999999996</v>
      </c>
      <c r="C19" s="284"/>
      <c r="D19" s="65" t="s">
        <v>262</v>
      </c>
      <c r="E19" s="65" t="s">
        <v>265</v>
      </c>
      <c r="F19" s="66"/>
      <c r="G19" s="123" t="s">
        <v>32</v>
      </c>
      <c r="H19" s="125">
        <v>1</v>
      </c>
      <c r="I19" s="125">
        <v>1</v>
      </c>
      <c r="J19" s="125">
        <v>1</v>
      </c>
      <c r="K19" s="125">
        <v>1</v>
      </c>
      <c r="L19" s="125">
        <v>1</v>
      </c>
      <c r="M19" s="56">
        <f t="shared" si="3"/>
        <v>5</v>
      </c>
      <c r="N19" s="63">
        <v>25000</v>
      </c>
      <c r="O19" s="48">
        <f t="shared" si="4"/>
        <v>25000</v>
      </c>
      <c r="P19" s="48">
        <f t="shared" si="5"/>
        <v>25000</v>
      </c>
      <c r="Q19" s="48">
        <f t="shared" si="6"/>
        <v>25000</v>
      </c>
      <c r="R19" s="48">
        <f t="shared" si="7"/>
        <v>25000</v>
      </c>
      <c r="S19" s="48">
        <f t="shared" si="8"/>
        <v>25000</v>
      </c>
      <c r="T19" s="140">
        <f t="shared" si="9"/>
        <v>125000</v>
      </c>
      <c r="U19" s="155">
        <f t="shared" si="1"/>
        <v>0</v>
      </c>
      <c r="V19" s="148">
        <f t="shared" si="1"/>
        <v>0</v>
      </c>
      <c r="W19" s="148">
        <f t="shared" si="1"/>
        <v>125000</v>
      </c>
      <c r="X19" s="156">
        <f t="shared" si="1"/>
        <v>0</v>
      </c>
    </row>
    <row r="20" spans="2:24" ht="43.5" x14ac:dyDescent="0.35">
      <c r="B20" s="170">
        <v>4.0999999999999996</v>
      </c>
      <c r="C20" s="284"/>
      <c r="D20" s="65" t="s">
        <v>263</v>
      </c>
      <c r="E20" s="65" t="s">
        <v>265</v>
      </c>
      <c r="F20" s="66"/>
      <c r="G20" s="123" t="s">
        <v>32</v>
      </c>
      <c r="H20" s="125">
        <v>1</v>
      </c>
      <c r="I20" s="125">
        <v>1</v>
      </c>
      <c r="J20" s="125">
        <v>1</v>
      </c>
      <c r="K20" s="125">
        <v>1</v>
      </c>
      <c r="L20" s="125">
        <v>1</v>
      </c>
      <c r="M20" s="56">
        <f t="shared" si="3"/>
        <v>5</v>
      </c>
      <c r="N20" s="63">
        <v>5000</v>
      </c>
      <c r="O20" s="48">
        <f t="shared" si="4"/>
        <v>5000</v>
      </c>
      <c r="P20" s="48">
        <f t="shared" si="5"/>
        <v>5000</v>
      </c>
      <c r="Q20" s="48">
        <f t="shared" si="6"/>
        <v>5000</v>
      </c>
      <c r="R20" s="48">
        <f t="shared" si="7"/>
        <v>5000</v>
      </c>
      <c r="S20" s="48">
        <f t="shared" si="8"/>
        <v>5000</v>
      </c>
      <c r="T20" s="140">
        <f t="shared" si="9"/>
        <v>25000</v>
      </c>
      <c r="U20" s="155">
        <f t="shared" si="1"/>
        <v>0</v>
      </c>
      <c r="V20" s="148">
        <f t="shared" si="1"/>
        <v>0</v>
      </c>
      <c r="W20" s="148">
        <f t="shared" si="1"/>
        <v>25000</v>
      </c>
      <c r="X20" s="156">
        <f t="shared" si="1"/>
        <v>0</v>
      </c>
    </row>
    <row r="21" spans="2:24" ht="29" x14ac:dyDescent="0.35">
      <c r="B21" s="170" t="s">
        <v>152</v>
      </c>
      <c r="C21" s="284"/>
      <c r="D21" s="65" t="s">
        <v>113</v>
      </c>
      <c r="E21" s="65" t="s">
        <v>265</v>
      </c>
      <c r="F21" s="66"/>
      <c r="G21" s="65" t="s">
        <v>32</v>
      </c>
      <c r="H21" s="125">
        <v>1</v>
      </c>
      <c r="I21" s="125"/>
      <c r="J21" s="125"/>
      <c r="K21" s="125"/>
      <c r="L21" s="125"/>
      <c r="M21" s="56">
        <f t="shared" ref="M21" si="10">SUM(H21:K21)</f>
        <v>1</v>
      </c>
      <c r="N21" s="63">
        <v>300000</v>
      </c>
      <c r="O21" s="48">
        <f>H21*$N21</f>
        <v>300000</v>
      </c>
      <c r="P21" s="48">
        <f>I21*$N21</f>
        <v>0</v>
      </c>
      <c r="Q21" s="48">
        <f>J21*$N21</f>
        <v>0</v>
      </c>
      <c r="R21" s="48">
        <f>K21*$N21</f>
        <v>0</v>
      </c>
      <c r="S21" s="48">
        <f>L21*$N21</f>
        <v>0</v>
      </c>
      <c r="T21" s="140">
        <f t="shared" ref="T21:T30" si="11">SUM(O21:S21)</f>
        <v>300000</v>
      </c>
      <c r="U21" s="155">
        <f t="shared" si="1"/>
        <v>0</v>
      </c>
      <c r="V21" s="148">
        <f t="shared" si="1"/>
        <v>0</v>
      </c>
      <c r="W21" s="148">
        <f t="shared" si="1"/>
        <v>300000</v>
      </c>
      <c r="X21" s="156">
        <f t="shared" si="1"/>
        <v>0</v>
      </c>
    </row>
    <row r="22" spans="2:24" x14ac:dyDescent="0.35">
      <c r="B22" s="170" t="s">
        <v>153</v>
      </c>
      <c r="C22" s="284"/>
      <c r="D22" s="65" t="s">
        <v>114</v>
      </c>
      <c r="E22" s="65" t="s">
        <v>265</v>
      </c>
      <c r="F22" s="66"/>
      <c r="G22" s="65" t="s">
        <v>32</v>
      </c>
      <c r="H22" s="125"/>
      <c r="I22" s="125">
        <v>1</v>
      </c>
      <c r="J22" s="125"/>
      <c r="K22" s="125"/>
      <c r="L22" s="125"/>
      <c r="M22" s="56">
        <f t="shared" ref="M22:M29" si="12">SUM(H22:K22)</f>
        <v>1</v>
      </c>
      <c r="N22" s="63">
        <v>300000</v>
      </c>
      <c r="O22" s="48">
        <f t="shared" ref="O22:O23" si="13">H22*$N22</f>
        <v>0</v>
      </c>
      <c r="P22" s="48">
        <f t="shared" ref="P22:P23" si="14">I22*$N22</f>
        <v>300000</v>
      </c>
      <c r="Q22" s="48">
        <f t="shared" ref="Q22:Q23" si="15">J22*$N22</f>
        <v>0</v>
      </c>
      <c r="R22" s="48">
        <f t="shared" ref="R22:R23" si="16">K22*$N22</f>
        <v>0</v>
      </c>
      <c r="S22" s="48">
        <f t="shared" ref="S22:S23" si="17">L22*$N22</f>
        <v>0</v>
      </c>
      <c r="T22" s="140">
        <f t="shared" si="11"/>
        <v>300000</v>
      </c>
      <c r="U22" s="155">
        <f t="shared" si="1"/>
        <v>0</v>
      </c>
      <c r="V22" s="148">
        <f t="shared" si="1"/>
        <v>0</v>
      </c>
      <c r="W22" s="148">
        <f t="shared" si="1"/>
        <v>300000</v>
      </c>
      <c r="X22" s="156">
        <f t="shared" si="1"/>
        <v>0</v>
      </c>
    </row>
    <row r="23" spans="2:24" x14ac:dyDescent="0.35">
      <c r="B23" s="170" t="s">
        <v>154</v>
      </c>
      <c r="C23" s="284"/>
      <c r="D23" s="65" t="s">
        <v>115</v>
      </c>
      <c r="E23" s="65" t="s">
        <v>265</v>
      </c>
      <c r="F23" s="66"/>
      <c r="G23" s="65" t="s">
        <v>32</v>
      </c>
      <c r="H23" s="125"/>
      <c r="I23" s="125">
        <v>1</v>
      </c>
      <c r="J23" s="125"/>
      <c r="K23" s="125"/>
      <c r="L23" s="125"/>
      <c r="M23" s="56">
        <f t="shared" si="12"/>
        <v>1</v>
      </c>
      <c r="N23" s="63">
        <v>50000</v>
      </c>
      <c r="O23" s="48">
        <f t="shared" si="13"/>
        <v>0</v>
      </c>
      <c r="P23" s="48">
        <f t="shared" si="14"/>
        <v>50000</v>
      </c>
      <c r="Q23" s="48">
        <f t="shared" si="15"/>
        <v>0</v>
      </c>
      <c r="R23" s="48">
        <f t="shared" si="16"/>
        <v>0</v>
      </c>
      <c r="S23" s="48">
        <f t="shared" si="17"/>
        <v>0</v>
      </c>
      <c r="T23" s="140">
        <f t="shared" si="11"/>
        <v>50000</v>
      </c>
      <c r="U23" s="155">
        <f t="shared" si="1"/>
        <v>0</v>
      </c>
      <c r="V23" s="148">
        <f t="shared" si="1"/>
        <v>0</v>
      </c>
      <c r="W23" s="148">
        <f t="shared" si="1"/>
        <v>50000</v>
      </c>
      <c r="X23" s="156">
        <f t="shared" si="1"/>
        <v>0</v>
      </c>
    </row>
    <row r="24" spans="2:24" x14ac:dyDescent="0.35">
      <c r="B24" s="170" t="s">
        <v>154</v>
      </c>
      <c r="C24" s="284"/>
      <c r="D24" s="65" t="s">
        <v>187</v>
      </c>
      <c r="E24" s="65" t="s">
        <v>265</v>
      </c>
      <c r="F24" s="66"/>
      <c r="G24" s="65" t="s">
        <v>32</v>
      </c>
      <c r="H24" s="125"/>
      <c r="I24" s="125">
        <v>1</v>
      </c>
      <c r="J24" s="125"/>
      <c r="K24" s="125"/>
      <c r="L24" s="125"/>
      <c r="M24" s="56">
        <f t="shared" ref="M24" si="18">SUM(H24:K24)</f>
        <v>1</v>
      </c>
      <c r="N24" s="63">
        <v>50000</v>
      </c>
      <c r="O24" s="48">
        <f t="shared" ref="O24" si="19">H24*$N24</f>
        <v>0</v>
      </c>
      <c r="P24" s="48">
        <f t="shared" ref="P24" si="20">I24*$N24</f>
        <v>50000</v>
      </c>
      <c r="Q24" s="48">
        <f t="shared" ref="Q24" si="21">J24*$N24</f>
        <v>0</v>
      </c>
      <c r="R24" s="48">
        <f t="shared" ref="R24" si="22">K24*$N24</f>
        <v>0</v>
      </c>
      <c r="S24" s="48">
        <f t="shared" ref="S24" si="23">L24*$N24</f>
        <v>0</v>
      </c>
      <c r="T24" s="140">
        <f t="shared" ref="T24" si="24">SUM(O24:S24)</f>
        <v>50000</v>
      </c>
      <c r="U24" s="155">
        <f t="shared" si="1"/>
        <v>0</v>
      </c>
      <c r="V24" s="148">
        <f t="shared" si="1"/>
        <v>0</v>
      </c>
      <c r="W24" s="148">
        <f t="shared" si="1"/>
        <v>50000</v>
      </c>
      <c r="X24" s="156">
        <f t="shared" si="1"/>
        <v>0</v>
      </c>
    </row>
    <row r="25" spans="2:24" x14ac:dyDescent="0.35">
      <c r="B25" s="170" t="s">
        <v>155</v>
      </c>
      <c r="C25" s="284"/>
      <c r="D25" s="65" t="s">
        <v>116</v>
      </c>
      <c r="E25" s="65" t="s">
        <v>265</v>
      </c>
      <c r="F25" s="66"/>
      <c r="G25" s="65" t="s">
        <v>303</v>
      </c>
      <c r="H25" s="125"/>
      <c r="I25" s="125"/>
      <c r="J25" s="125">
        <v>1</v>
      </c>
      <c r="K25" s="125"/>
      <c r="L25" s="125"/>
      <c r="M25" s="56">
        <f t="shared" si="12"/>
        <v>1</v>
      </c>
      <c r="N25" s="63">
        <v>150000</v>
      </c>
      <c r="O25" s="48">
        <f t="shared" ref="O25:S30" si="25">H25*$N25</f>
        <v>0</v>
      </c>
      <c r="P25" s="48">
        <f t="shared" si="25"/>
        <v>0</v>
      </c>
      <c r="Q25" s="48">
        <f t="shared" si="25"/>
        <v>150000</v>
      </c>
      <c r="R25" s="48">
        <f t="shared" si="25"/>
        <v>0</v>
      </c>
      <c r="S25" s="48">
        <f t="shared" si="25"/>
        <v>0</v>
      </c>
      <c r="T25" s="140">
        <f t="shared" si="11"/>
        <v>150000</v>
      </c>
      <c r="U25" s="155">
        <f t="shared" si="1"/>
        <v>0</v>
      </c>
      <c r="V25" s="148">
        <f t="shared" si="1"/>
        <v>0</v>
      </c>
      <c r="W25" s="148">
        <f t="shared" si="1"/>
        <v>150000</v>
      </c>
      <c r="X25" s="156">
        <f t="shared" si="1"/>
        <v>0</v>
      </c>
    </row>
    <row r="26" spans="2:24" ht="29" x14ac:dyDescent="0.35">
      <c r="B26" s="170" t="s">
        <v>156</v>
      </c>
      <c r="C26" s="284"/>
      <c r="D26" s="76" t="s">
        <v>117</v>
      </c>
      <c r="E26" s="65" t="s">
        <v>265</v>
      </c>
      <c r="F26" s="77"/>
      <c r="G26" s="65" t="s">
        <v>303</v>
      </c>
      <c r="H26" s="125"/>
      <c r="I26" s="125"/>
      <c r="J26" s="125">
        <v>1</v>
      </c>
      <c r="K26" s="125"/>
      <c r="L26" s="125"/>
      <c r="M26" s="56">
        <f t="shared" si="12"/>
        <v>1</v>
      </c>
      <c r="N26" s="63">
        <v>150000</v>
      </c>
      <c r="O26" s="81">
        <f t="shared" si="25"/>
        <v>0</v>
      </c>
      <c r="P26" s="81">
        <f t="shared" si="25"/>
        <v>0</v>
      </c>
      <c r="Q26" s="81">
        <f t="shared" si="25"/>
        <v>150000</v>
      </c>
      <c r="R26" s="81">
        <f t="shared" si="25"/>
        <v>0</v>
      </c>
      <c r="S26" s="81">
        <f t="shared" si="25"/>
        <v>0</v>
      </c>
      <c r="T26" s="143">
        <f t="shared" si="11"/>
        <v>150000</v>
      </c>
      <c r="U26" s="155">
        <f t="shared" si="1"/>
        <v>0</v>
      </c>
      <c r="V26" s="148">
        <f t="shared" si="1"/>
        <v>0</v>
      </c>
      <c r="W26" s="148">
        <f t="shared" si="1"/>
        <v>150000</v>
      </c>
      <c r="X26" s="156">
        <f t="shared" si="1"/>
        <v>0</v>
      </c>
    </row>
    <row r="27" spans="2:24" ht="43.5" x14ac:dyDescent="0.35">
      <c r="B27" s="170" t="s">
        <v>157</v>
      </c>
      <c r="C27" s="284"/>
      <c r="D27" s="65" t="s">
        <v>228</v>
      </c>
      <c r="E27" s="76" t="s">
        <v>264</v>
      </c>
      <c r="F27" s="66"/>
      <c r="G27" s="65" t="s">
        <v>303</v>
      </c>
      <c r="H27" s="125"/>
      <c r="I27" s="125"/>
      <c r="J27" s="125">
        <v>1</v>
      </c>
      <c r="K27" s="125"/>
      <c r="L27" s="125"/>
      <c r="M27" s="56">
        <f t="shared" si="12"/>
        <v>1</v>
      </c>
      <c r="N27" s="63">
        <v>400000</v>
      </c>
      <c r="O27" s="81">
        <f t="shared" si="25"/>
        <v>0</v>
      </c>
      <c r="P27" s="81">
        <f t="shared" si="25"/>
        <v>0</v>
      </c>
      <c r="Q27" s="81">
        <f t="shared" si="25"/>
        <v>400000</v>
      </c>
      <c r="R27" s="81">
        <f t="shared" si="25"/>
        <v>0</v>
      </c>
      <c r="S27" s="81">
        <f t="shared" si="25"/>
        <v>0</v>
      </c>
      <c r="T27" s="140">
        <f t="shared" ref="T27:T29" si="26">SUM(O27:S27)</f>
        <v>400000</v>
      </c>
      <c r="U27" s="155">
        <f t="shared" si="1"/>
        <v>0</v>
      </c>
      <c r="V27" s="148">
        <f t="shared" si="1"/>
        <v>400000</v>
      </c>
      <c r="W27" s="148">
        <f t="shared" si="1"/>
        <v>0</v>
      </c>
      <c r="X27" s="156">
        <f t="shared" si="1"/>
        <v>0</v>
      </c>
    </row>
    <row r="28" spans="2:24" ht="29" x14ac:dyDescent="0.35">
      <c r="B28" s="170" t="s">
        <v>157</v>
      </c>
      <c r="C28" s="284"/>
      <c r="D28" s="65" t="s">
        <v>227</v>
      </c>
      <c r="E28" s="76" t="s">
        <v>264</v>
      </c>
      <c r="F28" s="66"/>
      <c r="G28" s="65" t="s">
        <v>303</v>
      </c>
      <c r="H28" s="125"/>
      <c r="I28" s="125"/>
      <c r="J28" s="125">
        <v>1</v>
      </c>
      <c r="K28" s="125"/>
      <c r="L28" s="125"/>
      <c r="M28" s="56">
        <f t="shared" si="12"/>
        <v>1</v>
      </c>
      <c r="N28" s="63">
        <v>400000</v>
      </c>
      <c r="O28" s="48">
        <f t="shared" si="25"/>
        <v>0</v>
      </c>
      <c r="P28" s="48">
        <f t="shared" si="25"/>
        <v>0</v>
      </c>
      <c r="Q28" s="48">
        <f t="shared" si="25"/>
        <v>400000</v>
      </c>
      <c r="R28" s="48">
        <f t="shared" si="25"/>
        <v>0</v>
      </c>
      <c r="S28" s="48">
        <f t="shared" si="25"/>
        <v>0</v>
      </c>
      <c r="T28" s="140">
        <f t="shared" si="26"/>
        <v>400000</v>
      </c>
      <c r="U28" s="155">
        <f t="shared" si="1"/>
        <v>0</v>
      </c>
      <c r="V28" s="148">
        <f t="shared" si="1"/>
        <v>400000</v>
      </c>
      <c r="W28" s="148">
        <f t="shared" si="1"/>
        <v>0</v>
      </c>
      <c r="X28" s="156">
        <f t="shared" si="1"/>
        <v>0</v>
      </c>
    </row>
    <row r="29" spans="2:24" ht="43.5" x14ac:dyDescent="0.35">
      <c r="B29" s="170" t="s">
        <v>157</v>
      </c>
      <c r="C29" s="284"/>
      <c r="D29" s="76" t="s">
        <v>186</v>
      </c>
      <c r="E29" s="76" t="s">
        <v>264</v>
      </c>
      <c r="F29" s="77"/>
      <c r="G29" s="65" t="s">
        <v>1</v>
      </c>
      <c r="H29" s="125"/>
      <c r="I29" s="125"/>
      <c r="J29" s="125">
        <v>1</v>
      </c>
      <c r="K29" s="125"/>
      <c r="L29" s="125"/>
      <c r="M29" s="56">
        <f t="shared" si="12"/>
        <v>1</v>
      </c>
      <c r="N29" s="63">
        <v>400000</v>
      </c>
      <c r="O29" s="81">
        <f t="shared" si="25"/>
        <v>0</v>
      </c>
      <c r="P29" s="81">
        <f t="shared" si="25"/>
        <v>0</v>
      </c>
      <c r="Q29" s="81">
        <f t="shared" si="25"/>
        <v>400000</v>
      </c>
      <c r="R29" s="81">
        <f t="shared" si="25"/>
        <v>0</v>
      </c>
      <c r="S29" s="81">
        <f t="shared" si="25"/>
        <v>0</v>
      </c>
      <c r="T29" s="143">
        <f t="shared" si="26"/>
        <v>400000</v>
      </c>
      <c r="U29" s="155">
        <f t="shared" si="1"/>
        <v>0</v>
      </c>
      <c r="V29" s="148">
        <f t="shared" si="1"/>
        <v>400000</v>
      </c>
      <c r="W29" s="148">
        <f t="shared" si="1"/>
        <v>0</v>
      </c>
      <c r="X29" s="156">
        <f t="shared" si="1"/>
        <v>0</v>
      </c>
    </row>
    <row r="30" spans="2:24" ht="15" thickBot="1" x14ac:dyDescent="0.4">
      <c r="C30" s="285"/>
      <c r="D30" s="67"/>
      <c r="E30" s="67"/>
      <c r="F30" s="68"/>
      <c r="G30" s="67"/>
      <c r="H30" s="52"/>
      <c r="I30" s="52"/>
      <c r="J30" s="52"/>
      <c r="K30" s="52"/>
      <c r="L30" s="52"/>
      <c r="M30" s="57">
        <f>SUM(H30:L30)</f>
        <v>0</v>
      </c>
      <c r="N30" s="64"/>
      <c r="O30" s="49">
        <f t="shared" si="25"/>
        <v>0</v>
      </c>
      <c r="P30" s="49">
        <f t="shared" si="25"/>
        <v>0</v>
      </c>
      <c r="Q30" s="49">
        <f t="shared" si="25"/>
        <v>0</v>
      </c>
      <c r="R30" s="49">
        <f t="shared" si="25"/>
        <v>0</v>
      </c>
      <c r="S30" s="49">
        <f t="shared" si="25"/>
        <v>0</v>
      </c>
      <c r="T30" s="141">
        <f t="shared" si="11"/>
        <v>0</v>
      </c>
      <c r="U30" s="157">
        <f t="shared" si="1"/>
        <v>0</v>
      </c>
      <c r="V30" s="158">
        <f t="shared" si="1"/>
        <v>0</v>
      </c>
      <c r="W30" s="158">
        <f t="shared" si="1"/>
        <v>0</v>
      </c>
      <c r="X30" s="159">
        <f t="shared" si="1"/>
        <v>0</v>
      </c>
    </row>
    <row r="31" spans="2:24" ht="15" thickBot="1" x14ac:dyDescent="0.4">
      <c r="C31" s="16"/>
      <c r="D31" s="9"/>
      <c r="E31" s="9"/>
      <c r="F31" s="9"/>
      <c r="G31" s="9"/>
      <c r="H31" s="9"/>
      <c r="I31" s="9"/>
      <c r="J31" s="5"/>
      <c r="K31" s="5"/>
      <c r="L31" s="5"/>
      <c r="M31" s="5"/>
      <c r="N31" s="4"/>
      <c r="O31" s="39"/>
      <c r="P31" s="39"/>
      <c r="Q31" s="40"/>
      <c r="R31" s="40"/>
      <c r="S31" s="40"/>
      <c r="T31" s="41"/>
      <c r="U31" s="41"/>
      <c r="V31" s="41"/>
      <c r="W31" s="41"/>
      <c r="X31" s="41"/>
    </row>
    <row r="32" spans="2:24" s="45" customFormat="1" ht="15" thickBot="1" x14ac:dyDescent="0.4">
      <c r="C32" s="47"/>
      <c r="D32" s="46"/>
      <c r="E32" s="46"/>
      <c r="F32" s="46"/>
      <c r="G32" s="46"/>
      <c r="H32" s="46"/>
      <c r="I32" s="46"/>
      <c r="J32" s="46"/>
      <c r="K32" s="46"/>
      <c r="L32" s="87"/>
      <c r="M32" s="88"/>
      <c r="N32" s="88" t="s">
        <v>96</v>
      </c>
      <c r="O32" s="167">
        <f>SUM(O4:O30)</f>
        <v>1085000</v>
      </c>
      <c r="P32" s="168">
        <f t="shared" ref="P32:S32" si="27">SUM(P4:P30)</f>
        <v>1135000</v>
      </c>
      <c r="Q32" s="168">
        <f t="shared" si="27"/>
        <v>2213000</v>
      </c>
      <c r="R32" s="168">
        <f t="shared" si="27"/>
        <v>702000</v>
      </c>
      <c r="S32" s="169">
        <f t="shared" si="27"/>
        <v>702000</v>
      </c>
      <c r="T32" s="166">
        <f>SUM(O32:S32)</f>
        <v>5837000</v>
      </c>
      <c r="U32" s="147">
        <f>SUM(U21:U30)</f>
        <v>0</v>
      </c>
      <c r="V32" s="147">
        <f>SUM(V21:V30)</f>
        <v>1200000</v>
      </c>
      <c r="W32" s="147">
        <f>SUM(W4:W30)</f>
        <v>4637000</v>
      </c>
      <c r="X32" s="147">
        <f>SUM(X21:X30)</f>
        <v>0</v>
      </c>
    </row>
    <row r="33" spans="2:24" s="2" customFormat="1" ht="15" thickBot="1" x14ac:dyDescent="0.4">
      <c r="C33" s="16"/>
      <c r="D33" s="9"/>
      <c r="E33" s="9"/>
      <c r="F33" s="9"/>
      <c r="G33" s="9"/>
      <c r="H33" s="9"/>
      <c r="I33" s="9"/>
      <c r="J33" s="5"/>
      <c r="K33" s="5"/>
      <c r="L33" s="5"/>
      <c r="M33" s="5"/>
      <c r="N33" s="4"/>
      <c r="O33" s="41"/>
      <c r="P33" s="41"/>
      <c r="Q33" s="41"/>
      <c r="R33" s="41"/>
      <c r="S33" s="41"/>
      <c r="T33" s="42"/>
      <c r="U33" s="42"/>
      <c r="V33" s="42"/>
      <c r="W33" s="42"/>
      <c r="X33" s="42"/>
    </row>
    <row r="34" spans="2:24" s="71" customFormat="1" ht="44" customHeight="1" x14ac:dyDescent="0.35">
      <c r="C34" s="75" t="s">
        <v>91</v>
      </c>
      <c r="D34" s="74" t="s">
        <v>7</v>
      </c>
      <c r="E34" s="74" t="s">
        <v>88</v>
      </c>
      <c r="F34" s="74" t="s">
        <v>89</v>
      </c>
      <c r="G34" s="74" t="s">
        <v>26</v>
      </c>
      <c r="H34" s="72">
        <v>2021</v>
      </c>
      <c r="I34" s="72">
        <v>2022</v>
      </c>
      <c r="J34" s="72">
        <v>2023</v>
      </c>
      <c r="K34" s="72">
        <v>2024</v>
      </c>
      <c r="L34" s="72">
        <v>2025</v>
      </c>
      <c r="M34" s="69" t="s">
        <v>36</v>
      </c>
      <c r="N34" s="62" t="s">
        <v>37</v>
      </c>
      <c r="O34" s="73" t="s">
        <v>64</v>
      </c>
      <c r="P34" s="73" t="s">
        <v>39</v>
      </c>
      <c r="Q34" s="73" t="s">
        <v>65</v>
      </c>
      <c r="R34" s="73" t="s">
        <v>66</v>
      </c>
      <c r="S34" s="120" t="s">
        <v>67</v>
      </c>
      <c r="T34" s="151" t="s">
        <v>4</v>
      </c>
      <c r="U34" s="160"/>
      <c r="V34" s="161"/>
      <c r="W34" s="161"/>
      <c r="X34" s="162"/>
    </row>
    <row r="35" spans="2:24" s="45" customFormat="1" x14ac:dyDescent="0.35">
      <c r="B35" s="171" t="s">
        <v>159</v>
      </c>
      <c r="C35" s="286" t="s">
        <v>16</v>
      </c>
      <c r="D35" s="65" t="s">
        <v>119</v>
      </c>
      <c r="E35" s="65" t="s">
        <v>265</v>
      </c>
      <c r="F35" s="66"/>
      <c r="G35" s="65" t="s">
        <v>27</v>
      </c>
      <c r="H35" s="51"/>
      <c r="I35" s="51">
        <v>0.5</v>
      </c>
      <c r="J35" s="51">
        <v>0.5</v>
      </c>
      <c r="K35" s="51"/>
      <c r="L35" s="51"/>
      <c r="M35" s="56">
        <f>SUM(H35:K35)</f>
        <v>1</v>
      </c>
      <c r="N35" s="63">
        <v>800000</v>
      </c>
      <c r="O35" s="48">
        <f>H35*$N35</f>
        <v>0</v>
      </c>
      <c r="P35" s="48">
        <f>I35*$N35</f>
        <v>400000</v>
      </c>
      <c r="Q35" s="48">
        <f>J35*$N35</f>
        <v>400000</v>
      </c>
      <c r="R35" s="48">
        <f>K35*$N35</f>
        <v>0</v>
      </c>
      <c r="S35" s="121">
        <f>L35*$N35</f>
        <v>0</v>
      </c>
      <c r="T35" s="140">
        <f>SUM(O35:S35)</f>
        <v>800000</v>
      </c>
      <c r="U35" s="155">
        <f t="shared" ref="U35:X38" si="28">IF($E35=U$2,$T35,0)</f>
        <v>0</v>
      </c>
      <c r="V35" s="148">
        <f t="shared" si="28"/>
        <v>0</v>
      </c>
      <c r="W35" s="148">
        <f t="shared" si="28"/>
        <v>800000</v>
      </c>
      <c r="X35" s="156">
        <f t="shared" si="28"/>
        <v>0</v>
      </c>
    </row>
    <row r="36" spans="2:24" s="45" customFormat="1" x14ac:dyDescent="0.35">
      <c r="C36" s="286"/>
      <c r="D36" s="65"/>
      <c r="E36" s="65"/>
      <c r="F36" s="66"/>
      <c r="G36" s="65"/>
      <c r="H36" s="51"/>
      <c r="I36" s="51"/>
      <c r="J36" s="51"/>
      <c r="K36" s="51"/>
      <c r="L36" s="51"/>
      <c r="M36" s="56">
        <f>SUM(H36:K36)</f>
        <v>0</v>
      </c>
      <c r="N36" s="63"/>
      <c r="O36" s="48">
        <f t="shared" ref="O36:S38" si="29">H36*$N36</f>
        <v>0</v>
      </c>
      <c r="P36" s="48">
        <f t="shared" si="29"/>
        <v>0</v>
      </c>
      <c r="Q36" s="48">
        <f t="shared" si="29"/>
        <v>0</v>
      </c>
      <c r="R36" s="48">
        <f t="shared" si="29"/>
        <v>0</v>
      </c>
      <c r="S36" s="121">
        <f t="shared" si="29"/>
        <v>0</v>
      </c>
      <c r="T36" s="140">
        <f t="shared" ref="T36:T38" si="30">SUM(O36:S36)</f>
        <v>0</v>
      </c>
      <c r="U36" s="155">
        <f t="shared" si="28"/>
        <v>0</v>
      </c>
      <c r="V36" s="148">
        <f t="shared" si="28"/>
        <v>0</v>
      </c>
      <c r="W36" s="148">
        <f t="shared" si="28"/>
        <v>0</v>
      </c>
      <c r="X36" s="156">
        <f t="shared" si="28"/>
        <v>0</v>
      </c>
    </row>
    <row r="37" spans="2:24" s="45" customFormat="1" x14ac:dyDescent="0.35">
      <c r="C37" s="286"/>
      <c r="D37" s="65"/>
      <c r="E37" s="65"/>
      <c r="F37" s="66"/>
      <c r="G37" s="65"/>
      <c r="H37" s="51"/>
      <c r="I37" s="51"/>
      <c r="J37" s="51"/>
      <c r="K37" s="51"/>
      <c r="L37" s="51"/>
      <c r="M37" s="56">
        <f t="shared" ref="M37:M38" si="31">SUM(H37:K37)</f>
        <v>0</v>
      </c>
      <c r="N37" s="63"/>
      <c r="O37" s="48">
        <f t="shared" si="29"/>
        <v>0</v>
      </c>
      <c r="P37" s="48">
        <f t="shared" si="29"/>
        <v>0</v>
      </c>
      <c r="Q37" s="48">
        <f t="shared" si="29"/>
        <v>0</v>
      </c>
      <c r="R37" s="48">
        <f t="shared" si="29"/>
        <v>0</v>
      </c>
      <c r="S37" s="121">
        <f t="shared" si="29"/>
        <v>0</v>
      </c>
      <c r="T37" s="140">
        <f t="shared" si="30"/>
        <v>0</v>
      </c>
      <c r="U37" s="155">
        <f t="shared" si="28"/>
        <v>0</v>
      </c>
      <c r="V37" s="148">
        <f t="shared" si="28"/>
        <v>0</v>
      </c>
      <c r="W37" s="148">
        <f t="shared" si="28"/>
        <v>0</v>
      </c>
      <c r="X37" s="156">
        <f t="shared" si="28"/>
        <v>0</v>
      </c>
    </row>
    <row r="38" spans="2:24" s="45" customFormat="1" ht="15" thickBot="1" x14ac:dyDescent="0.4">
      <c r="C38" s="287"/>
      <c r="D38" s="67"/>
      <c r="E38" s="67"/>
      <c r="F38" s="68"/>
      <c r="G38" s="67"/>
      <c r="H38" s="52"/>
      <c r="I38" s="52"/>
      <c r="J38" s="52"/>
      <c r="K38" s="52"/>
      <c r="L38" s="52"/>
      <c r="M38" s="57">
        <f t="shared" si="31"/>
        <v>0</v>
      </c>
      <c r="N38" s="64"/>
      <c r="O38" s="49">
        <f t="shared" si="29"/>
        <v>0</v>
      </c>
      <c r="P38" s="49">
        <f t="shared" si="29"/>
        <v>0</v>
      </c>
      <c r="Q38" s="49">
        <f t="shared" si="29"/>
        <v>0</v>
      </c>
      <c r="R38" s="49">
        <f t="shared" si="29"/>
        <v>0</v>
      </c>
      <c r="S38" s="122">
        <f t="shared" si="29"/>
        <v>0</v>
      </c>
      <c r="T38" s="141">
        <f t="shared" si="30"/>
        <v>0</v>
      </c>
      <c r="U38" s="157">
        <f t="shared" si="28"/>
        <v>0</v>
      </c>
      <c r="V38" s="158">
        <f t="shared" si="28"/>
        <v>0</v>
      </c>
      <c r="W38" s="158">
        <f t="shared" si="28"/>
        <v>0</v>
      </c>
      <c r="X38" s="159">
        <f t="shared" si="28"/>
        <v>0</v>
      </c>
    </row>
    <row r="39" spans="2:24" s="45" customFormat="1" ht="15" thickBot="1" x14ac:dyDescent="0.4">
      <c r="C39" s="46"/>
      <c r="D39" s="46"/>
      <c r="E39" s="46"/>
      <c r="F39" s="46"/>
      <c r="G39" s="46"/>
      <c r="H39" s="46"/>
      <c r="I39" s="46"/>
      <c r="J39" s="46"/>
      <c r="K39" s="46"/>
      <c r="L39" s="46"/>
      <c r="M39" s="46"/>
      <c r="N39" s="46"/>
      <c r="O39" s="46"/>
      <c r="P39" s="46"/>
      <c r="Q39" s="46"/>
      <c r="R39" s="46"/>
      <c r="S39" s="46"/>
      <c r="T39" s="46"/>
      <c r="U39" s="46"/>
      <c r="V39" s="46"/>
      <c r="W39" s="46"/>
      <c r="X39" s="46"/>
    </row>
    <row r="40" spans="2:24" s="45" customFormat="1" ht="15" thickBot="1" x14ac:dyDescent="0.4">
      <c r="C40" s="47"/>
      <c r="D40" s="46"/>
      <c r="E40" s="46"/>
      <c r="F40" s="46"/>
      <c r="G40" s="46"/>
      <c r="H40" s="46"/>
      <c r="I40" s="46"/>
      <c r="J40" s="46"/>
      <c r="K40" s="46"/>
      <c r="L40" s="87"/>
      <c r="M40" s="88"/>
      <c r="N40" s="89" t="s">
        <v>94</v>
      </c>
      <c r="O40" s="83">
        <f>SUM(O35:O38)</f>
        <v>0</v>
      </c>
      <c r="P40" s="84">
        <f>SUM(P35:P38)</f>
        <v>400000</v>
      </c>
      <c r="Q40" s="84">
        <f>SUM(Q35:Q38)</f>
        <v>400000</v>
      </c>
      <c r="R40" s="84">
        <f>SUM(R35:R38)</f>
        <v>0</v>
      </c>
      <c r="S40" s="85">
        <f>SUM(S35:S38)</f>
        <v>0</v>
      </c>
      <c r="T40" s="61">
        <f>SUM(O40:S40)</f>
        <v>800000</v>
      </c>
      <c r="U40" s="147">
        <f t="shared" ref="U40:X40" si="32">SUM(U35:U38)</f>
        <v>0</v>
      </c>
      <c r="V40" s="149">
        <f t="shared" si="32"/>
        <v>0</v>
      </c>
      <c r="W40" s="149">
        <f t="shared" si="32"/>
        <v>800000</v>
      </c>
      <c r="X40" s="150">
        <f t="shared" si="32"/>
        <v>0</v>
      </c>
    </row>
    <row r="41" spans="2:24" x14ac:dyDescent="0.35">
      <c r="C41" s="11"/>
      <c r="D41" s="2"/>
      <c r="E41" s="2"/>
      <c r="F41" s="2"/>
      <c r="G41" s="2"/>
      <c r="H41" s="2"/>
      <c r="I41" s="2"/>
      <c r="J41" s="2"/>
      <c r="K41" s="2"/>
      <c r="L41" s="2"/>
      <c r="M41" s="2"/>
      <c r="N41" s="36"/>
      <c r="O41" s="37"/>
      <c r="P41" s="37"/>
      <c r="Q41" s="37"/>
      <c r="R41" s="37"/>
      <c r="S41" s="37"/>
      <c r="T41" s="38"/>
      <c r="U41" s="38"/>
      <c r="V41" s="38"/>
      <c r="W41" s="38"/>
      <c r="X41" s="38"/>
    </row>
    <row r="42" spans="2:24" ht="15" thickBot="1" x14ac:dyDescent="0.4">
      <c r="C42" s="9"/>
      <c r="D42" s="2"/>
      <c r="E42" s="2"/>
      <c r="F42" s="2"/>
      <c r="G42" s="2"/>
      <c r="H42" s="2"/>
      <c r="I42" s="2"/>
      <c r="J42" s="2"/>
      <c r="K42" s="2"/>
      <c r="L42" s="2"/>
      <c r="M42" s="2"/>
      <c r="N42" s="36"/>
      <c r="O42" s="37"/>
      <c r="P42" s="37"/>
      <c r="Q42" s="37"/>
      <c r="R42" s="37"/>
      <c r="S42" s="37"/>
      <c r="T42" s="38"/>
      <c r="U42" s="38"/>
      <c r="V42" s="38"/>
      <c r="W42" s="38"/>
      <c r="X42" s="38"/>
    </row>
    <row r="43" spans="2:24" s="71" customFormat="1" ht="43.5" x14ac:dyDescent="0.35">
      <c r="C43" s="75" t="s">
        <v>91</v>
      </c>
      <c r="D43" s="74" t="s">
        <v>7</v>
      </c>
      <c r="E43" s="74" t="str">
        <f>E34</f>
        <v>Fin.
AFD, EU, GCF, GVNT</v>
      </c>
      <c r="F43" s="74" t="str">
        <f>F34</f>
        <v>Durée de vie (an)</v>
      </c>
      <c r="G43" s="74" t="s">
        <v>26</v>
      </c>
      <c r="H43" s="72">
        <v>2021</v>
      </c>
      <c r="I43" s="72">
        <v>2022</v>
      </c>
      <c r="J43" s="72">
        <v>2023</v>
      </c>
      <c r="K43" s="72">
        <v>2024</v>
      </c>
      <c r="L43" s="72">
        <v>2025</v>
      </c>
      <c r="M43" s="69" t="s">
        <v>36</v>
      </c>
      <c r="N43" s="62" t="s">
        <v>37</v>
      </c>
      <c r="O43" s="73" t="s">
        <v>64</v>
      </c>
      <c r="P43" s="73" t="s">
        <v>39</v>
      </c>
      <c r="Q43" s="73" t="s">
        <v>65</v>
      </c>
      <c r="R43" s="73" t="s">
        <v>66</v>
      </c>
      <c r="S43" s="73" t="s">
        <v>67</v>
      </c>
      <c r="T43" s="151" t="s">
        <v>5</v>
      </c>
      <c r="U43" s="160"/>
      <c r="V43" s="161"/>
      <c r="W43" s="161"/>
      <c r="X43" s="162"/>
    </row>
    <row r="44" spans="2:24" x14ac:dyDescent="0.35">
      <c r="B44" s="170" t="s">
        <v>160</v>
      </c>
      <c r="C44" s="288" t="s">
        <v>13</v>
      </c>
      <c r="D44" s="65" t="s">
        <v>118</v>
      </c>
      <c r="E44" s="65" t="s">
        <v>265</v>
      </c>
      <c r="F44" s="66">
        <v>10</v>
      </c>
      <c r="G44" s="65" t="s">
        <v>219</v>
      </c>
      <c r="H44" s="51">
        <v>0.5</v>
      </c>
      <c r="I44" s="51">
        <v>0.5</v>
      </c>
      <c r="J44" s="51"/>
      <c r="K44" s="51"/>
      <c r="L44" s="51"/>
      <c r="M44" s="56">
        <f>SUM(H44:L44)</f>
        <v>1</v>
      </c>
      <c r="N44" s="63">
        <v>700000</v>
      </c>
      <c r="O44" s="48">
        <f>H44*$N44</f>
        <v>350000</v>
      </c>
      <c r="P44" s="48">
        <f>I44*$N44</f>
        <v>350000</v>
      </c>
      <c r="Q44" s="48">
        <f>J44*$N44</f>
        <v>0</v>
      </c>
      <c r="R44" s="48">
        <f>K44*$N44</f>
        <v>0</v>
      </c>
      <c r="S44" s="48">
        <f>L44*$N44</f>
        <v>0</v>
      </c>
      <c r="T44" s="140">
        <f>SUM(O44:S44)</f>
        <v>700000</v>
      </c>
      <c r="U44" s="155">
        <f t="shared" ref="U44:X55" si="33">IF($E44=U$2,$T44,0)</f>
        <v>0</v>
      </c>
      <c r="V44" s="148">
        <f t="shared" si="33"/>
        <v>0</v>
      </c>
      <c r="W44" s="148">
        <f t="shared" si="33"/>
        <v>700000</v>
      </c>
      <c r="X44" s="156">
        <f t="shared" si="33"/>
        <v>0</v>
      </c>
    </row>
    <row r="45" spans="2:24" ht="29" x14ac:dyDescent="0.35">
      <c r="B45" s="170" t="s">
        <v>161</v>
      </c>
      <c r="C45" s="284"/>
      <c r="D45" s="65" t="s">
        <v>220</v>
      </c>
      <c r="E45" s="65" t="s">
        <v>265</v>
      </c>
      <c r="F45" s="66">
        <v>10</v>
      </c>
      <c r="G45" s="65" t="s">
        <v>303</v>
      </c>
      <c r="H45" s="51">
        <v>0.5</v>
      </c>
      <c r="I45" s="51">
        <v>0.5</v>
      </c>
      <c r="J45" s="51"/>
      <c r="K45" s="51"/>
      <c r="L45" s="51"/>
      <c r="M45" s="56">
        <f t="shared" ref="M45:M55" si="34">SUM(H45:L45)</f>
        <v>1</v>
      </c>
      <c r="N45" s="63">
        <v>500000</v>
      </c>
      <c r="O45" s="48">
        <f t="shared" ref="O45:S55" si="35">H45*$N45</f>
        <v>250000</v>
      </c>
      <c r="P45" s="48">
        <f t="shared" si="35"/>
        <v>250000</v>
      </c>
      <c r="Q45" s="48">
        <f t="shared" si="35"/>
        <v>0</v>
      </c>
      <c r="R45" s="48">
        <f t="shared" si="35"/>
        <v>0</v>
      </c>
      <c r="S45" s="48">
        <f t="shared" si="35"/>
        <v>0</v>
      </c>
      <c r="T45" s="140">
        <f t="shared" ref="T45:T55" si="36">SUM(O45:S45)</f>
        <v>500000</v>
      </c>
      <c r="U45" s="155">
        <f t="shared" si="33"/>
        <v>0</v>
      </c>
      <c r="V45" s="148">
        <f t="shared" si="33"/>
        <v>0</v>
      </c>
      <c r="W45" s="148">
        <f t="shared" si="33"/>
        <v>500000</v>
      </c>
      <c r="X45" s="156">
        <f t="shared" si="33"/>
        <v>0</v>
      </c>
    </row>
    <row r="46" spans="2:24" ht="29" x14ac:dyDescent="0.35">
      <c r="B46" s="170" t="s">
        <v>170</v>
      </c>
      <c r="C46" s="284"/>
      <c r="D46" s="65" t="s">
        <v>223</v>
      </c>
      <c r="E46" s="65" t="s">
        <v>265</v>
      </c>
      <c r="F46" s="66">
        <v>10</v>
      </c>
      <c r="G46" s="65" t="s">
        <v>303</v>
      </c>
      <c r="H46" s="51">
        <v>0.5</v>
      </c>
      <c r="I46" s="51">
        <v>0.3</v>
      </c>
      <c r="J46" s="51">
        <v>0.2</v>
      </c>
      <c r="K46" s="51"/>
      <c r="L46" s="51"/>
      <c r="M46" s="56">
        <f t="shared" si="34"/>
        <v>1</v>
      </c>
      <c r="N46" s="63">
        <v>700000</v>
      </c>
      <c r="O46" s="48">
        <f t="shared" si="35"/>
        <v>350000</v>
      </c>
      <c r="P46" s="48">
        <f t="shared" si="35"/>
        <v>210000</v>
      </c>
      <c r="Q46" s="48">
        <f t="shared" si="35"/>
        <v>140000</v>
      </c>
      <c r="R46" s="48">
        <f t="shared" si="35"/>
        <v>0</v>
      </c>
      <c r="S46" s="48">
        <f t="shared" si="35"/>
        <v>0</v>
      </c>
      <c r="T46" s="140">
        <f t="shared" si="36"/>
        <v>700000</v>
      </c>
      <c r="U46" s="155">
        <f t="shared" si="33"/>
        <v>0</v>
      </c>
      <c r="V46" s="148">
        <f t="shared" si="33"/>
        <v>0</v>
      </c>
      <c r="W46" s="148">
        <f t="shared" si="33"/>
        <v>700000</v>
      </c>
      <c r="X46" s="156">
        <f t="shared" si="33"/>
        <v>0</v>
      </c>
    </row>
    <row r="47" spans="2:24" ht="33" customHeight="1" x14ac:dyDescent="0.35">
      <c r="B47" s="170" t="s">
        <v>169</v>
      </c>
      <c r="C47" s="284"/>
      <c r="D47" s="65" t="s">
        <v>221</v>
      </c>
      <c r="E47" s="65" t="s">
        <v>265</v>
      </c>
      <c r="F47" s="66">
        <v>10</v>
      </c>
      <c r="G47" s="65" t="s">
        <v>303</v>
      </c>
      <c r="H47" s="51"/>
      <c r="I47" s="51">
        <v>0.5</v>
      </c>
      <c r="J47" s="51">
        <v>0.3</v>
      </c>
      <c r="K47" s="51">
        <v>0.2</v>
      </c>
      <c r="L47" s="51"/>
      <c r="M47" s="56">
        <f t="shared" si="34"/>
        <v>1</v>
      </c>
      <c r="N47" s="63">
        <v>500000</v>
      </c>
      <c r="O47" s="48">
        <f t="shared" si="35"/>
        <v>0</v>
      </c>
      <c r="P47" s="48">
        <f t="shared" si="35"/>
        <v>250000</v>
      </c>
      <c r="Q47" s="48">
        <f t="shared" si="35"/>
        <v>150000</v>
      </c>
      <c r="R47" s="48">
        <f t="shared" si="35"/>
        <v>100000</v>
      </c>
      <c r="S47" s="48">
        <f t="shared" si="35"/>
        <v>0</v>
      </c>
      <c r="T47" s="140">
        <f t="shared" si="36"/>
        <v>500000</v>
      </c>
      <c r="U47" s="155">
        <f t="shared" si="33"/>
        <v>0</v>
      </c>
      <c r="V47" s="148">
        <f t="shared" si="33"/>
        <v>0</v>
      </c>
      <c r="W47" s="148">
        <f t="shared" si="33"/>
        <v>500000</v>
      </c>
      <c r="X47" s="156">
        <f t="shared" si="33"/>
        <v>0</v>
      </c>
    </row>
    <row r="48" spans="2:24" ht="43.5" x14ac:dyDescent="0.35">
      <c r="B48" s="170" t="s">
        <v>224</v>
      </c>
      <c r="C48" s="284"/>
      <c r="D48" s="65" t="s">
        <v>222</v>
      </c>
      <c r="E48" s="65" t="s">
        <v>265</v>
      </c>
      <c r="F48" s="66">
        <v>10</v>
      </c>
      <c r="G48" s="65" t="s">
        <v>303</v>
      </c>
      <c r="H48" s="51">
        <v>0.5</v>
      </c>
      <c r="I48" s="51">
        <v>0.3</v>
      </c>
      <c r="J48" s="51">
        <v>0.2</v>
      </c>
      <c r="K48" s="51"/>
      <c r="L48" s="51"/>
      <c r="M48" s="56">
        <f t="shared" si="34"/>
        <v>1</v>
      </c>
      <c r="N48" s="63">
        <v>500000</v>
      </c>
      <c r="O48" s="48">
        <f t="shared" si="35"/>
        <v>250000</v>
      </c>
      <c r="P48" s="48">
        <f t="shared" si="35"/>
        <v>150000</v>
      </c>
      <c r="Q48" s="48">
        <f t="shared" si="35"/>
        <v>100000</v>
      </c>
      <c r="R48" s="48">
        <f t="shared" si="35"/>
        <v>0</v>
      </c>
      <c r="S48" s="48">
        <f t="shared" si="35"/>
        <v>0</v>
      </c>
      <c r="T48" s="140">
        <f t="shared" si="36"/>
        <v>500000</v>
      </c>
      <c r="U48" s="155">
        <f t="shared" si="33"/>
        <v>0</v>
      </c>
      <c r="V48" s="148">
        <f t="shared" si="33"/>
        <v>0</v>
      </c>
      <c r="W48" s="148">
        <f t="shared" si="33"/>
        <v>500000</v>
      </c>
      <c r="X48" s="156">
        <f t="shared" si="33"/>
        <v>0</v>
      </c>
    </row>
    <row r="49" spans="2:24" x14ac:dyDescent="0.35">
      <c r="C49" s="284"/>
      <c r="D49" s="65"/>
      <c r="E49" s="65"/>
      <c r="F49" s="66"/>
      <c r="G49" s="65"/>
      <c r="H49" s="51"/>
      <c r="I49" s="51"/>
      <c r="J49" s="51"/>
      <c r="K49" s="51"/>
      <c r="L49" s="51"/>
      <c r="M49" s="56">
        <f t="shared" si="34"/>
        <v>0</v>
      </c>
      <c r="N49" s="63"/>
      <c r="O49" s="48">
        <f t="shared" si="35"/>
        <v>0</v>
      </c>
      <c r="P49" s="48">
        <f t="shared" si="35"/>
        <v>0</v>
      </c>
      <c r="Q49" s="48">
        <f t="shared" si="35"/>
        <v>0</v>
      </c>
      <c r="R49" s="48">
        <f t="shared" si="35"/>
        <v>0</v>
      </c>
      <c r="S49" s="48">
        <f t="shared" si="35"/>
        <v>0</v>
      </c>
      <c r="T49" s="140">
        <f t="shared" si="36"/>
        <v>0</v>
      </c>
      <c r="U49" s="155">
        <f t="shared" si="33"/>
        <v>0</v>
      </c>
      <c r="V49" s="148">
        <f t="shared" si="33"/>
        <v>0</v>
      </c>
      <c r="W49" s="148">
        <f t="shared" si="33"/>
        <v>0</v>
      </c>
      <c r="X49" s="156">
        <f t="shared" si="33"/>
        <v>0</v>
      </c>
    </row>
    <row r="50" spans="2:24" x14ac:dyDescent="0.35">
      <c r="C50" s="284"/>
      <c r="D50" s="65"/>
      <c r="E50" s="65"/>
      <c r="F50" s="66"/>
      <c r="G50" s="65"/>
      <c r="H50" s="51"/>
      <c r="I50" s="51"/>
      <c r="J50" s="51"/>
      <c r="K50" s="51"/>
      <c r="L50" s="51"/>
      <c r="M50" s="56">
        <f t="shared" si="34"/>
        <v>0</v>
      </c>
      <c r="N50" s="63"/>
      <c r="O50" s="48">
        <f t="shared" si="35"/>
        <v>0</v>
      </c>
      <c r="P50" s="48">
        <f t="shared" si="35"/>
        <v>0</v>
      </c>
      <c r="Q50" s="48">
        <f t="shared" si="35"/>
        <v>0</v>
      </c>
      <c r="R50" s="48">
        <f t="shared" si="35"/>
        <v>0</v>
      </c>
      <c r="S50" s="48">
        <f t="shared" si="35"/>
        <v>0</v>
      </c>
      <c r="T50" s="140">
        <f t="shared" si="36"/>
        <v>0</v>
      </c>
      <c r="U50" s="155">
        <f t="shared" si="33"/>
        <v>0</v>
      </c>
      <c r="V50" s="148">
        <f t="shared" si="33"/>
        <v>0</v>
      </c>
      <c r="W50" s="148">
        <f t="shared" si="33"/>
        <v>0</v>
      </c>
      <c r="X50" s="156">
        <f t="shared" si="33"/>
        <v>0</v>
      </c>
    </row>
    <row r="51" spans="2:24" x14ac:dyDescent="0.35">
      <c r="C51" s="284"/>
      <c r="D51" s="65"/>
      <c r="E51" s="65"/>
      <c r="F51" s="66"/>
      <c r="G51" s="65"/>
      <c r="H51" s="51"/>
      <c r="I51" s="51"/>
      <c r="J51" s="51"/>
      <c r="K51" s="51"/>
      <c r="L51" s="51"/>
      <c r="M51" s="56">
        <f t="shared" si="34"/>
        <v>0</v>
      </c>
      <c r="N51" s="63"/>
      <c r="O51" s="48">
        <f t="shared" si="35"/>
        <v>0</v>
      </c>
      <c r="P51" s="48">
        <f t="shared" si="35"/>
        <v>0</v>
      </c>
      <c r="Q51" s="48">
        <f t="shared" si="35"/>
        <v>0</v>
      </c>
      <c r="R51" s="48">
        <f t="shared" si="35"/>
        <v>0</v>
      </c>
      <c r="S51" s="48">
        <f t="shared" si="35"/>
        <v>0</v>
      </c>
      <c r="T51" s="140">
        <f t="shared" si="36"/>
        <v>0</v>
      </c>
      <c r="U51" s="155">
        <f t="shared" si="33"/>
        <v>0</v>
      </c>
      <c r="V51" s="148">
        <f t="shared" si="33"/>
        <v>0</v>
      </c>
      <c r="W51" s="148">
        <f t="shared" si="33"/>
        <v>0</v>
      </c>
      <c r="X51" s="156">
        <f t="shared" si="33"/>
        <v>0</v>
      </c>
    </row>
    <row r="52" spans="2:24" x14ac:dyDescent="0.35">
      <c r="C52" s="284"/>
      <c r="D52" s="65"/>
      <c r="E52" s="65"/>
      <c r="F52" s="66"/>
      <c r="G52" s="65"/>
      <c r="H52" s="51"/>
      <c r="I52" s="51"/>
      <c r="J52" s="51"/>
      <c r="K52" s="51"/>
      <c r="L52" s="51"/>
      <c r="M52" s="56">
        <f t="shared" si="34"/>
        <v>0</v>
      </c>
      <c r="N52" s="63"/>
      <c r="O52" s="48">
        <f t="shared" si="35"/>
        <v>0</v>
      </c>
      <c r="P52" s="48">
        <f t="shared" si="35"/>
        <v>0</v>
      </c>
      <c r="Q52" s="48">
        <f t="shared" si="35"/>
        <v>0</v>
      </c>
      <c r="R52" s="48">
        <f t="shared" si="35"/>
        <v>0</v>
      </c>
      <c r="S52" s="48">
        <f t="shared" si="35"/>
        <v>0</v>
      </c>
      <c r="T52" s="140">
        <f t="shared" si="36"/>
        <v>0</v>
      </c>
      <c r="U52" s="155">
        <f t="shared" si="33"/>
        <v>0</v>
      </c>
      <c r="V52" s="148">
        <f t="shared" si="33"/>
        <v>0</v>
      </c>
      <c r="W52" s="148">
        <f t="shared" si="33"/>
        <v>0</v>
      </c>
      <c r="X52" s="156">
        <f t="shared" si="33"/>
        <v>0</v>
      </c>
    </row>
    <row r="53" spans="2:24" x14ac:dyDescent="0.35">
      <c r="C53" s="284"/>
      <c r="D53" s="65"/>
      <c r="E53" s="65"/>
      <c r="F53" s="66"/>
      <c r="G53" s="65"/>
      <c r="H53" s="51"/>
      <c r="I53" s="51"/>
      <c r="J53" s="51"/>
      <c r="K53" s="51"/>
      <c r="L53" s="51"/>
      <c r="M53" s="56">
        <f t="shared" si="34"/>
        <v>0</v>
      </c>
      <c r="N53" s="63"/>
      <c r="O53" s="48">
        <f t="shared" si="35"/>
        <v>0</v>
      </c>
      <c r="P53" s="48">
        <f t="shared" si="35"/>
        <v>0</v>
      </c>
      <c r="Q53" s="48">
        <f t="shared" si="35"/>
        <v>0</v>
      </c>
      <c r="R53" s="48">
        <f t="shared" si="35"/>
        <v>0</v>
      </c>
      <c r="S53" s="48">
        <f t="shared" si="35"/>
        <v>0</v>
      </c>
      <c r="T53" s="140">
        <f t="shared" si="36"/>
        <v>0</v>
      </c>
      <c r="U53" s="155">
        <f t="shared" si="33"/>
        <v>0</v>
      </c>
      <c r="V53" s="148">
        <f t="shared" si="33"/>
        <v>0</v>
      </c>
      <c r="W53" s="148">
        <f t="shared" si="33"/>
        <v>0</v>
      </c>
      <c r="X53" s="156">
        <f t="shared" si="33"/>
        <v>0</v>
      </c>
    </row>
    <row r="54" spans="2:24" x14ac:dyDescent="0.35">
      <c r="C54" s="284"/>
      <c r="D54" s="65"/>
      <c r="E54" s="65"/>
      <c r="F54" s="66"/>
      <c r="G54" s="65"/>
      <c r="H54" s="51"/>
      <c r="I54" s="51"/>
      <c r="J54" s="51"/>
      <c r="K54" s="51"/>
      <c r="L54" s="51"/>
      <c r="M54" s="56">
        <f t="shared" si="34"/>
        <v>0</v>
      </c>
      <c r="N54" s="63"/>
      <c r="O54" s="48">
        <f t="shared" si="35"/>
        <v>0</v>
      </c>
      <c r="P54" s="48">
        <f t="shared" si="35"/>
        <v>0</v>
      </c>
      <c r="Q54" s="48">
        <f t="shared" si="35"/>
        <v>0</v>
      </c>
      <c r="R54" s="48">
        <f t="shared" si="35"/>
        <v>0</v>
      </c>
      <c r="S54" s="48">
        <f t="shared" si="35"/>
        <v>0</v>
      </c>
      <c r="T54" s="140">
        <f t="shared" si="36"/>
        <v>0</v>
      </c>
      <c r="U54" s="155">
        <f t="shared" si="33"/>
        <v>0</v>
      </c>
      <c r="V54" s="148">
        <f t="shared" si="33"/>
        <v>0</v>
      </c>
      <c r="W54" s="148">
        <f t="shared" si="33"/>
        <v>0</v>
      </c>
      <c r="X54" s="156">
        <f t="shared" si="33"/>
        <v>0</v>
      </c>
    </row>
    <row r="55" spans="2:24" ht="15" thickBot="1" x14ac:dyDescent="0.4">
      <c r="C55" s="285"/>
      <c r="D55" s="67"/>
      <c r="E55" s="67"/>
      <c r="F55" s="68"/>
      <c r="G55" s="67"/>
      <c r="H55" s="52"/>
      <c r="I55" s="52"/>
      <c r="J55" s="52"/>
      <c r="K55" s="52"/>
      <c r="L55" s="52"/>
      <c r="M55" s="57">
        <f t="shared" si="34"/>
        <v>0</v>
      </c>
      <c r="N55" s="64"/>
      <c r="O55" s="49">
        <f t="shared" si="35"/>
        <v>0</v>
      </c>
      <c r="P55" s="49">
        <f t="shared" si="35"/>
        <v>0</v>
      </c>
      <c r="Q55" s="49">
        <f t="shared" si="35"/>
        <v>0</v>
      </c>
      <c r="R55" s="49">
        <f t="shared" si="35"/>
        <v>0</v>
      </c>
      <c r="S55" s="49">
        <f t="shared" si="35"/>
        <v>0</v>
      </c>
      <c r="T55" s="141">
        <f t="shared" si="36"/>
        <v>0</v>
      </c>
      <c r="U55" s="157">
        <f t="shared" si="33"/>
        <v>0</v>
      </c>
      <c r="V55" s="158">
        <f t="shared" si="33"/>
        <v>0</v>
      </c>
      <c r="W55" s="158">
        <f t="shared" si="33"/>
        <v>0</v>
      </c>
      <c r="X55" s="159">
        <f t="shared" si="33"/>
        <v>0</v>
      </c>
    </row>
    <row r="56" spans="2:24" ht="15" thickBot="1" x14ac:dyDescent="0.4">
      <c r="C56" s="9"/>
      <c r="D56" s="9"/>
      <c r="E56" s="9"/>
      <c r="F56" s="9"/>
      <c r="G56" s="9"/>
      <c r="H56" s="9"/>
      <c r="I56" s="9"/>
      <c r="J56" s="9"/>
      <c r="K56" s="9"/>
      <c r="L56" s="9"/>
      <c r="M56" s="9"/>
      <c r="N56" s="37"/>
      <c r="O56" s="37"/>
      <c r="P56" s="37"/>
      <c r="Q56" s="37"/>
      <c r="R56" s="37"/>
      <c r="S56" s="37"/>
      <c r="T56" s="37"/>
      <c r="U56" s="37"/>
      <c r="V56" s="37"/>
      <c r="W56" s="37"/>
      <c r="X56" s="37"/>
    </row>
    <row r="57" spans="2:24" s="45" customFormat="1" ht="15" thickBot="1" x14ac:dyDescent="0.4">
      <c r="C57" s="47"/>
      <c r="D57" s="46"/>
      <c r="E57" s="46"/>
      <c r="F57" s="46"/>
      <c r="G57" s="46"/>
      <c r="H57" s="46"/>
      <c r="I57" s="46"/>
      <c r="J57" s="46"/>
      <c r="K57" s="46"/>
      <c r="L57" s="87"/>
      <c r="M57" s="88"/>
      <c r="N57" s="89" t="s">
        <v>95</v>
      </c>
      <c r="O57" s="83">
        <f>SUM(O44:O55)</f>
        <v>1200000</v>
      </c>
      <c r="P57" s="84">
        <f t="shared" ref="P57:S57" si="37">SUM(P44:P55)</f>
        <v>1210000</v>
      </c>
      <c r="Q57" s="84">
        <f t="shared" si="37"/>
        <v>390000</v>
      </c>
      <c r="R57" s="84">
        <f t="shared" si="37"/>
        <v>100000</v>
      </c>
      <c r="S57" s="85">
        <f t="shared" si="37"/>
        <v>0</v>
      </c>
      <c r="T57" s="61">
        <f>SUM(O57:S57)</f>
        <v>2900000</v>
      </c>
      <c r="U57" s="147">
        <f>SUM(U44:U55)</f>
        <v>0</v>
      </c>
      <c r="V57" s="149">
        <f t="shared" ref="V57:X57" si="38">SUM(V44:V55)</f>
        <v>0</v>
      </c>
      <c r="W57" s="149">
        <f t="shared" si="38"/>
        <v>2900000</v>
      </c>
      <c r="X57" s="150">
        <f t="shared" si="38"/>
        <v>0</v>
      </c>
    </row>
    <row r="58" spans="2:24" x14ac:dyDescent="0.35">
      <c r="C58" s="9"/>
      <c r="D58" s="9"/>
      <c r="E58" s="9"/>
      <c r="F58" s="9"/>
      <c r="G58" s="9"/>
      <c r="H58" s="9"/>
      <c r="I58" s="9"/>
      <c r="J58" s="9"/>
      <c r="K58" s="9"/>
      <c r="L58" s="9"/>
      <c r="M58" s="9"/>
      <c r="N58" s="9"/>
      <c r="O58" s="3"/>
      <c r="P58" s="3"/>
      <c r="Q58" s="3"/>
      <c r="R58" s="3"/>
      <c r="S58" s="3"/>
      <c r="T58" s="12"/>
      <c r="U58" s="12"/>
      <c r="V58" s="12"/>
      <c r="W58" s="12"/>
      <c r="X58" s="12"/>
    </row>
    <row r="59" spans="2:24" x14ac:dyDescent="0.35">
      <c r="C59" s="9"/>
      <c r="D59" s="9"/>
      <c r="E59" s="9"/>
      <c r="F59" s="9"/>
      <c r="G59" s="9"/>
      <c r="H59" s="9"/>
      <c r="I59" s="9"/>
      <c r="J59" s="9"/>
      <c r="K59" s="9"/>
      <c r="L59" s="9"/>
      <c r="M59" s="9"/>
      <c r="N59" s="9"/>
      <c r="O59" s="3"/>
      <c r="P59" s="3"/>
      <c r="Q59" s="3"/>
      <c r="R59" s="3"/>
      <c r="S59" s="3"/>
      <c r="T59" s="12"/>
      <c r="U59" s="12"/>
      <c r="V59" s="12"/>
      <c r="W59" s="12"/>
      <c r="X59" s="12"/>
    </row>
    <row r="60" spans="2:24" ht="15" thickBot="1" x14ac:dyDescent="0.4">
      <c r="C60" s="16"/>
      <c r="D60" s="9"/>
      <c r="E60" s="9"/>
      <c r="F60" s="9"/>
      <c r="G60" s="9"/>
      <c r="H60" s="9"/>
      <c r="I60" s="9"/>
      <c r="J60" s="5"/>
      <c r="K60" s="5"/>
      <c r="L60" s="5"/>
      <c r="M60" s="5"/>
      <c r="N60" s="4"/>
      <c r="O60" s="41"/>
      <c r="P60" s="41"/>
      <c r="Q60" s="41"/>
      <c r="R60" s="41"/>
      <c r="S60" s="41"/>
      <c r="T60" s="42"/>
      <c r="U60" s="42"/>
      <c r="V60" s="42"/>
      <c r="W60" s="42"/>
      <c r="X60" s="42"/>
    </row>
    <row r="61" spans="2:24" s="71" customFormat="1" ht="43.5" x14ac:dyDescent="0.35">
      <c r="C61" s="75" t="s">
        <v>92</v>
      </c>
      <c r="D61" s="74" t="s">
        <v>7</v>
      </c>
      <c r="E61" s="74" t="str">
        <f>E34</f>
        <v>Fin.
AFD, EU, GCF, GVNT</v>
      </c>
      <c r="F61" s="74" t="str">
        <f>F34</f>
        <v>Durée de vie (an)</v>
      </c>
      <c r="G61" s="74" t="s">
        <v>26</v>
      </c>
      <c r="H61" s="72">
        <v>2021</v>
      </c>
      <c r="I61" s="72">
        <v>2022</v>
      </c>
      <c r="J61" s="72">
        <v>2023</v>
      </c>
      <c r="K61" s="72">
        <v>2024</v>
      </c>
      <c r="L61" s="72">
        <v>2025</v>
      </c>
      <c r="M61" s="69" t="s">
        <v>36</v>
      </c>
      <c r="N61" s="62" t="s">
        <v>37</v>
      </c>
      <c r="O61" s="73" t="s">
        <v>9</v>
      </c>
      <c r="P61" s="73" t="s">
        <v>10</v>
      </c>
      <c r="Q61" s="73" t="s">
        <v>11</v>
      </c>
      <c r="R61" s="73" t="s">
        <v>12</v>
      </c>
      <c r="S61" s="73" t="s">
        <v>39</v>
      </c>
      <c r="T61" s="151" t="s">
        <v>22</v>
      </c>
      <c r="U61" s="160"/>
      <c r="V61" s="161"/>
      <c r="W61" s="161"/>
      <c r="X61" s="162"/>
    </row>
    <row r="62" spans="2:24" x14ac:dyDescent="0.35">
      <c r="B62" s="170" t="s">
        <v>168</v>
      </c>
      <c r="C62" s="288"/>
      <c r="D62" s="65" t="s">
        <v>188</v>
      </c>
      <c r="E62" s="65"/>
      <c r="F62" s="66"/>
      <c r="G62" s="65"/>
      <c r="H62" s="51"/>
      <c r="I62" s="51"/>
      <c r="J62" s="51"/>
      <c r="K62" s="51"/>
      <c r="L62" s="51"/>
      <c r="M62" s="56">
        <f t="shared" ref="M62:M67" si="39">SUM(H62:L62)</f>
        <v>0</v>
      </c>
      <c r="N62" s="63">
        <v>300000</v>
      </c>
      <c r="O62" s="48">
        <f>H62*$N62</f>
        <v>0</v>
      </c>
      <c r="P62" s="48">
        <f>I62*$N62</f>
        <v>0</v>
      </c>
      <c r="Q62" s="48">
        <f>J62*$N62</f>
        <v>0</v>
      </c>
      <c r="R62" s="48">
        <f>K62*$N62</f>
        <v>0</v>
      </c>
      <c r="S62" s="48">
        <f>L62*$N62</f>
        <v>0</v>
      </c>
      <c r="T62" s="140">
        <f>SUM(O62:S62)</f>
        <v>0</v>
      </c>
      <c r="U62" s="155">
        <f t="shared" ref="U62:X68" si="40">IF($E62=U$2,$T62,0)</f>
        <v>0</v>
      </c>
      <c r="V62" s="148">
        <f t="shared" si="40"/>
        <v>0</v>
      </c>
      <c r="W62" s="148">
        <f t="shared" si="40"/>
        <v>0</v>
      </c>
      <c r="X62" s="156">
        <f t="shared" si="40"/>
        <v>0</v>
      </c>
    </row>
    <row r="63" spans="2:24" x14ac:dyDescent="0.35">
      <c r="C63" s="284"/>
      <c r="D63" s="76"/>
      <c r="E63" s="76"/>
      <c r="F63" s="77"/>
      <c r="G63" s="76"/>
      <c r="H63" s="78"/>
      <c r="I63" s="78"/>
      <c r="J63" s="78"/>
      <c r="K63" s="78"/>
      <c r="L63" s="78"/>
      <c r="M63" s="79">
        <f t="shared" si="39"/>
        <v>0</v>
      </c>
      <c r="N63" s="80">
        <v>15000</v>
      </c>
      <c r="O63" s="81">
        <f t="shared" ref="O63:S68" si="41">H63*$N63</f>
        <v>0</v>
      </c>
      <c r="P63" s="81">
        <f t="shared" si="41"/>
        <v>0</v>
      </c>
      <c r="Q63" s="81">
        <f t="shared" si="41"/>
        <v>0</v>
      </c>
      <c r="R63" s="81">
        <f t="shared" si="41"/>
        <v>0</v>
      </c>
      <c r="S63" s="81">
        <f t="shared" si="41"/>
        <v>0</v>
      </c>
      <c r="T63" s="143">
        <f t="shared" ref="T63:T68" si="42">SUM(O63:S63)</f>
        <v>0</v>
      </c>
      <c r="U63" s="155">
        <f t="shared" si="40"/>
        <v>0</v>
      </c>
      <c r="V63" s="148">
        <f t="shared" si="40"/>
        <v>0</v>
      </c>
      <c r="W63" s="148">
        <f t="shared" si="40"/>
        <v>0</v>
      </c>
      <c r="X63" s="156">
        <f t="shared" si="40"/>
        <v>0</v>
      </c>
    </row>
    <row r="64" spans="2:24" x14ac:dyDescent="0.35">
      <c r="C64" s="284"/>
      <c r="D64" s="76"/>
      <c r="E64" s="76"/>
      <c r="F64" s="77"/>
      <c r="G64" s="76"/>
      <c r="H64" s="78"/>
      <c r="I64" s="78"/>
      <c r="J64" s="78"/>
      <c r="K64" s="78"/>
      <c r="L64" s="78"/>
      <c r="M64" s="79">
        <f t="shared" si="39"/>
        <v>0</v>
      </c>
      <c r="N64" s="80">
        <v>5000</v>
      </c>
      <c r="O64" s="81">
        <f t="shared" si="41"/>
        <v>0</v>
      </c>
      <c r="P64" s="81">
        <f t="shared" si="41"/>
        <v>0</v>
      </c>
      <c r="Q64" s="81">
        <f t="shared" si="41"/>
        <v>0</v>
      </c>
      <c r="R64" s="81">
        <f t="shared" si="41"/>
        <v>0</v>
      </c>
      <c r="S64" s="81">
        <f t="shared" si="41"/>
        <v>0</v>
      </c>
      <c r="T64" s="143">
        <f t="shared" si="42"/>
        <v>0</v>
      </c>
      <c r="U64" s="155">
        <f t="shared" si="40"/>
        <v>0</v>
      </c>
      <c r="V64" s="148">
        <f t="shared" si="40"/>
        <v>0</v>
      </c>
      <c r="W64" s="148">
        <f t="shared" si="40"/>
        <v>0</v>
      </c>
      <c r="X64" s="156">
        <f t="shared" si="40"/>
        <v>0</v>
      </c>
    </row>
    <row r="65" spans="2:24" x14ac:dyDescent="0.35">
      <c r="C65" s="284"/>
      <c r="D65" s="76"/>
      <c r="E65" s="76"/>
      <c r="F65" s="77"/>
      <c r="G65" s="76"/>
      <c r="H65" s="78"/>
      <c r="I65" s="78"/>
      <c r="J65" s="78"/>
      <c r="K65" s="78"/>
      <c r="L65" s="78"/>
      <c r="M65" s="79">
        <f t="shared" si="39"/>
        <v>0</v>
      </c>
      <c r="N65" s="80">
        <v>20000</v>
      </c>
      <c r="O65" s="81">
        <f t="shared" si="41"/>
        <v>0</v>
      </c>
      <c r="P65" s="81">
        <f t="shared" si="41"/>
        <v>0</v>
      </c>
      <c r="Q65" s="81">
        <f t="shared" si="41"/>
        <v>0</v>
      </c>
      <c r="R65" s="81">
        <f t="shared" si="41"/>
        <v>0</v>
      </c>
      <c r="S65" s="81">
        <f t="shared" si="41"/>
        <v>0</v>
      </c>
      <c r="T65" s="143">
        <f t="shared" si="42"/>
        <v>0</v>
      </c>
      <c r="U65" s="155">
        <f t="shared" si="40"/>
        <v>0</v>
      </c>
      <c r="V65" s="148">
        <f t="shared" si="40"/>
        <v>0</v>
      </c>
      <c r="W65" s="148">
        <f t="shared" si="40"/>
        <v>0</v>
      </c>
      <c r="X65" s="156">
        <f t="shared" si="40"/>
        <v>0</v>
      </c>
    </row>
    <row r="66" spans="2:24" x14ac:dyDescent="0.35">
      <c r="C66" s="284"/>
      <c r="D66" s="76"/>
      <c r="E66" s="76"/>
      <c r="F66" s="77"/>
      <c r="G66" s="76"/>
      <c r="H66" s="78"/>
      <c r="I66" s="78"/>
      <c r="J66" s="78"/>
      <c r="K66" s="78"/>
      <c r="L66" s="78"/>
      <c r="M66" s="79">
        <f t="shared" si="39"/>
        <v>0</v>
      </c>
      <c r="N66" s="80">
        <v>300000</v>
      </c>
      <c r="O66" s="81">
        <f t="shared" si="41"/>
        <v>0</v>
      </c>
      <c r="P66" s="81">
        <f t="shared" si="41"/>
        <v>0</v>
      </c>
      <c r="Q66" s="81">
        <f t="shared" si="41"/>
        <v>0</v>
      </c>
      <c r="R66" s="81">
        <f t="shared" si="41"/>
        <v>0</v>
      </c>
      <c r="S66" s="81">
        <f t="shared" si="41"/>
        <v>0</v>
      </c>
      <c r="T66" s="143">
        <f t="shared" si="42"/>
        <v>0</v>
      </c>
      <c r="U66" s="155">
        <f t="shared" si="40"/>
        <v>0</v>
      </c>
      <c r="V66" s="148">
        <f t="shared" si="40"/>
        <v>0</v>
      </c>
      <c r="W66" s="148">
        <f t="shared" si="40"/>
        <v>0</v>
      </c>
      <c r="X66" s="156">
        <f t="shared" si="40"/>
        <v>0</v>
      </c>
    </row>
    <row r="67" spans="2:24" x14ac:dyDescent="0.35">
      <c r="C67" s="284"/>
      <c r="D67" s="76"/>
      <c r="E67" s="76"/>
      <c r="F67" s="77"/>
      <c r="G67" s="76"/>
      <c r="H67" s="78"/>
      <c r="I67" s="78"/>
      <c r="J67" s="78"/>
      <c r="K67" s="78"/>
      <c r="L67" s="78"/>
      <c r="M67" s="79">
        <f t="shared" si="39"/>
        <v>0</v>
      </c>
      <c r="N67" s="80">
        <v>300000</v>
      </c>
      <c r="O67" s="81">
        <f t="shared" si="41"/>
        <v>0</v>
      </c>
      <c r="P67" s="81">
        <f t="shared" si="41"/>
        <v>0</v>
      </c>
      <c r="Q67" s="81">
        <f t="shared" si="41"/>
        <v>0</v>
      </c>
      <c r="R67" s="81">
        <f t="shared" si="41"/>
        <v>0</v>
      </c>
      <c r="S67" s="81">
        <f t="shared" si="41"/>
        <v>0</v>
      </c>
      <c r="T67" s="143">
        <f t="shared" si="42"/>
        <v>0</v>
      </c>
      <c r="U67" s="155">
        <f t="shared" si="40"/>
        <v>0</v>
      </c>
      <c r="V67" s="148">
        <f t="shared" si="40"/>
        <v>0</v>
      </c>
      <c r="W67" s="148">
        <f t="shared" si="40"/>
        <v>0</v>
      </c>
      <c r="X67" s="156">
        <f t="shared" si="40"/>
        <v>0</v>
      </c>
    </row>
    <row r="68" spans="2:24" ht="15" thickBot="1" x14ac:dyDescent="0.4">
      <c r="C68" s="285"/>
      <c r="D68" s="67"/>
      <c r="E68" s="67"/>
      <c r="F68" s="68"/>
      <c r="G68" s="67"/>
      <c r="H68" s="52"/>
      <c r="I68" s="52"/>
      <c r="J68" s="52"/>
      <c r="K68" s="52"/>
      <c r="L68" s="52"/>
      <c r="M68" s="57">
        <f>SUM(H68:L68)</f>
        <v>0</v>
      </c>
      <c r="N68" s="64">
        <v>300000</v>
      </c>
      <c r="O68" s="49">
        <f t="shared" si="41"/>
        <v>0</v>
      </c>
      <c r="P68" s="49">
        <f t="shared" si="41"/>
        <v>0</v>
      </c>
      <c r="Q68" s="49">
        <f t="shared" si="41"/>
        <v>0</v>
      </c>
      <c r="R68" s="49">
        <f t="shared" si="41"/>
        <v>0</v>
      </c>
      <c r="S68" s="49">
        <f t="shared" si="41"/>
        <v>0</v>
      </c>
      <c r="T68" s="141">
        <f t="shared" si="42"/>
        <v>0</v>
      </c>
      <c r="U68" s="157">
        <f t="shared" si="40"/>
        <v>0</v>
      </c>
      <c r="V68" s="158">
        <f t="shared" si="40"/>
        <v>0</v>
      </c>
      <c r="W68" s="158">
        <f t="shared" si="40"/>
        <v>0</v>
      </c>
      <c r="X68" s="159">
        <f t="shared" si="40"/>
        <v>0</v>
      </c>
    </row>
    <row r="69" spans="2:24" ht="15" thickBot="1" x14ac:dyDescent="0.4">
      <c r="C69" s="16"/>
      <c r="D69" s="9"/>
      <c r="E69" s="9"/>
      <c r="F69" s="9"/>
      <c r="G69" s="9"/>
      <c r="H69" s="9"/>
      <c r="I69" s="9"/>
      <c r="J69" s="5"/>
      <c r="K69" s="5"/>
      <c r="L69" s="5"/>
      <c r="M69" s="5"/>
      <c r="N69" s="4"/>
      <c r="O69" s="39"/>
      <c r="P69" s="39"/>
      <c r="Q69" s="40"/>
      <c r="R69" s="40"/>
      <c r="S69" s="40"/>
      <c r="T69" s="41"/>
      <c r="U69" s="41"/>
      <c r="V69" s="41"/>
      <c r="W69" s="41"/>
      <c r="X69" s="41"/>
    </row>
    <row r="70" spans="2:24" s="45" customFormat="1" ht="15" thickBot="1" x14ac:dyDescent="0.4">
      <c r="C70" s="47"/>
      <c r="D70" s="46"/>
      <c r="E70" s="46"/>
      <c r="F70" s="46"/>
      <c r="G70" s="46"/>
      <c r="H70" s="46"/>
      <c r="I70" s="46"/>
      <c r="J70" s="46"/>
      <c r="K70" s="46"/>
      <c r="L70" s="87"/>
      <c r="M70" s="88"/>
      <c r="N70" s="89" t="s">
        <v>97</v>
      </c>
      <c r="O70" s="83">
        <f>SUM(O62:O68)</f>
        <v>0</v>
      </c>
      <c r="P70" s="84">
        <f>SUM(P62:P68)</f>
        <v>0</v>
      </c>
      <c r="Q70" s="84">
        <f>SUM(Q62:Q68)</f>
        <v>0</v>
      </c>
      <c r="R70" s="84">
        <f>SUM(R62:R68)</f>
        <v>0</v>
      </c>
      <c r="S70" s="85">
        <f>SUM(S62:S68)</f>
        <v>0</v>
      </c>
      <c r="T70" s="61">
        <f>SUM(O70:S70)</f>
        <v>0</v>
      </c>
      <c r="U70" s="147">
        <f>SUM(U62:U68)</f>
        <v>0</v>
      </c>
      <c r="V70" s="149">
        <f t="shared" ref="V70:X70" si="43">SUM(V62:V68)</f>
        <v>0</v>
      </c>
      <c r="W70" s="149">
        <f t="shared" si="43"/>
        <v>0</v>
      </c>
      <c r="X70" s="150">
        <f t="shared" si="43"/>
        <v>0</v>
      </c>
    </row>
    <row r="71" spans="2:24" s="2" customFormat="1" x14ac:dyDescent="0.35">
      <c r="C71" s="16"/>
      <c r="D71" s="9"/>
      <c r="E71" s="9"/>
      <c r="F71" s="9"/>
      <c r="G71" s="9"/>
      <c r="H71" s="9"/>
      <c r="I71" s="9"/>
      <c r="J71" s="5"/>
      <c r="K71" s="5"/>
      <c r="L71" s="5"/>
      <c r="M71" s="5"/>
      <c r="N71" s="4"/>
      <c r="O71" s="41"/>
      <c r="P71" s="41"/>
      <c r="Q71" s="41"/>
      <c r="R71" s="41"/>
      <c r="S71" s="41"/>
      <c r="T71" s="42"/>
      <c r="U71" s="42"/>
      <c r="V71" s="42"/>
      <c r="W71" s="42"/>
      <c r="X71" s="42"/>
    </row>
    <row r="72" spans="2:24" ht="15" thickBot="1" x14ac:dyDescent="0.4">
      <c r="C72" s="16"/>
      <c r="D72" s="9"/>
      <c r="E72" s="9"/>
      <c r="F72" s="9"/>
      <c r="G72" s="9"/>
      <c r="H72" s="9"/>
      <c r="I72" s="9"/>
      <c r="J72" s="5"/>
      <c r="K72" s="5"/>
      <c r="L72" s="5"/>
      <c r="M72" s="5"/>
      <c r="N72" s="4"/>
      <c r="O72" s="41"/>
      <c r="P72" s="41"/>
      <c r="Q72" s="41"/>
      <c r="R72" s="41"/>
      <c r="S72" s="41"/>
      <c r="T72" s="42"/>
      <c r="U72" s="42"/>
      <c r="V72" s="42"/>
      <c r="W72" s="42"/>
      <c r="X72" s="42"/>
    </row>
    <row r="73" spans="2:24" s="71" customFormat="1" ht="43.5" x14ac:dyDescent="0.35">
      <c r="C73" s="75" t="s">
        <v>92</v>
      </c>
      <c r="D73" s="74" t="s">
        <v>7</v>
      </c>
      <c r="E73" s="74" t="str">
        <f>E34</f>
        <v>Fin.
AFD, EU, GCF, GVNT</v>
      </c>
      <c r="F73" s="74" t="str">
        <f>F34</f>
        <v>Durée de vie (an)</v>
      </c>
      <c r="G73" s="74" t="s">
        <v>26</v>
      </c>
      <c r="H73" s="72">
        <v>2021</v>
      </c>
      <c r="I73" s="72">
        <v>2022</v>
      </c>
      <c r="J73" s="72">
        <v>2023</v>
      </c>
      <c r="K73" s="72">
        <v>2024</v>
      </c>
      <c r="L73" s="72">
        <v>2025</v>
      </c>
      <c r="M73" s="69" t="s">
        <v>36</v>
      </c>
      <c r="N73" s="62" t="s">
        <v>37</v>
      </c>
      <c r="O73" s="73" t="s">
        <v>9</v>
      </c>
      <c r="P73" s="73" t="s">
        <v>10</v>
      </c>
      <c r="Q73" s="73" t="s">
        <v>11</v>
      </c>
      <c r="R73" s="73" t="s">
        <v>12</v>
      </c>
      <c r="S73" s="73" t="s">
        <v>39</v>
      </c>
      <c r="T73" s="151" t="s">
        <v>22</v>
      </c>
      <c r="U73" s="160"/>
      <c r="V73" s="161"/>
      <c r="W73" s="161"/>
      <c r="X73" s="162"/>
    </row>
    <row r="74" spans="2:24" ht="29" x14ac:dyDescent="0.35">
      <c r="B74" s="170" t="s">
        <v>163</v>
      </c>
      <c r="C74" s="288" t="s">
        <v>41</v>
      </c>
      <c r="D74" s="65" t="s">
        <v>120</v>
      </c>
      <c r="E74" s="65" t="s">
        <v>265</v>
      </c>
      <c r="F74" s="66"/>
      <c r="G74" s="65" t="s">
        <v>28</v>
      </c>
      <c r="H74" s="51">
        <v>0.3</v>
      </c>
      <c r="I74" s="51">
        <v>0.4</v>
      </c>
      <c r="J74" s="51">
        <v>0.3</v>
      </c>
      <c r="K74" s="51"/>
      <c r="L74" s="51"/>
      <c r="M74" s="116">
        <f>SUM(H74:L74)</f>
        <v>1</v>
      </c>
      <c r="N74" s="63">
        <v>2500000</v>
      </c>
      <c r="O74" s="48">
        <f t="shared" ref="O74:S74" si="44">H74*$N74</f>
        <v>750000</v>
      </c>
      <c r="P74" s="48">
        <f t="shared" si="44"/>
        <v>1000000</v>
      </c>
      <c r="Q74" s="48">
        <f t="shared" si="44"/>
        <v>750000</v>
      </c>
      <c r="R74" s="48">
        <f t="shared" si="44"/>
        <v>0</v>
      </c>
      <c r="S74" s="48">
        <f t="shared" si="44"/>
        <v>0</v>
      </c>
      <c r="T74" s="140">
        <f>SUM(O74:S74)</f>
        <v>2500000</v>
      </c>
      <c r="U74" s="155">
        <f t="shared" ref="U74:X78" si="45">IF($E74=U$2,$T74,0)</f>
        <v>0</v>
      </c>
      <c r="V74" s="148">
        <f t="shared" si="45"/>
        <v>0</v>
      </c>
      <c r="W74" s="148">
        <f t="shared" si="45"/>
        <v>2500000</v>
      </c>
      <c r="X74" s="156">
        <f t="shared" si="45"/>
        <v>0</v>
      </c>
    </row>
    <row r="75" spans="2:24" x14ac:dyDescent="0.35">
      <c r="B75" s="170" t="s">
        <v>162</v>
      </c>
      <c r="C75" s="284"/>
      <c r="D75" s="76" t="s">
        <v>121</v>
      </c>
      <c r="E75" s="65" t="s">
        <v>265</v>
      </c>
      <c r="F75" s="77"/>
      <c r="G75" s="76" t="s">
        <v>304</v>
      </c>
      <c r="H75" s="78">
        <v>0.2</v>
      </c>
      <c r="I75" s="78">
        <v>0.2</v>
      </c>
      <c r="J75" s="78">
        <v>0.2</v>
      </c>
      <c r="K75" s="78">
        <v>0.2</v>
      </c>
      <c r="L75" s="78">
        <v>0.2</v>
      </c>
      <c r="M75" s="116">
        <f t="shared" ref="M75:M77" si="46">SUM(H75:L75)</f>
        <v>1</v>
      </c>
      <c r="N75" s="80">
        <v>400000</v>
      </c>
      <c r="O75" s="81">
        <f t="shared" ref="O75:S78" si="47">H75*$N75</f>
        <v>80000</v>
      </c>
      <c r="P75" s="81">
        <f t="shared" si="47"/>
        <v>80000</v>
      </c>
      <c r="Q75" s="81">
        <f t="shared" si="47"/>
        <v>80000</v>
      </c>
      <c r="R75" s="81">
        <f t="shared" si="47"/>
        <v>80000</v>
      </c>
      <c r="S75" s="81">
        <f t="shared" si="47"/>
        <v>80000</v>
      </c>
      <c r="T75" s="143">
        <f t="shared" ref="T75:T78" si="48">SUM(O75:S75)</f>
        <v>400000</v>
      </c>
      <c r="U75" s="155">
        <f t="shared" si="45"/>
        <v>0</v>
      </c>
      <c r="V75" s="148">
        <f t="shared" si="45"/>
        <v>0</v>
      </c>
      <c r="W75" s="148">
        <f t="shared" si="45"/>
        <v>400000</v>
      </c>
      <c r="X75" s="156">
        <f t="shared" si="45"/>
        <v>0</v>
      </c>
    </row>
    <row r="76" spans="2:24" ht="29" x14ac:dyDescent="0.35">
      <c r="B76" s="170" t="s">
        <v>162</v>
      </c>
      <c r="C76" s="284"/>
      <c r="D76" s="76" t="s">
        <v>122</v>
      </c>
      <c r="E76" s="65" t="s">
        <v>265</v>
      </c>
      <c r="F76" s="77"/>
      <c r="G76" s="76" t="s">
        <v>304</v>
      </c>
      <c r="H76" s="78"/>
      <c r="I76" s="78"/>
      <c r="J76" s="114"/>
      <c r="K76" s="114">
        <v>1</v>
      </c>
      <c r="L76" s="78"/>
      <c r="M76" s="116">
        <f t="shared" si="46"/>
        <v>1</v>
      </c>
      <c r="N76" s="80">
        <v>500000</v>
      </c>
      <c r="O76" s="81">
        <f t="shared" si="47"/>
        <v>0</v>
      </c>
      <c r="P76" s="81">
        <f t="shared" si="47"/>
        <v>0</v>
      </c>
      <c r="Q76" s="81">
        <f t="shared" si="47"/>
        <v>0</v>
      </c>
      <c r="R76" s="81">
        <f t="shared" si="47"/>
        <v>500000</v>
      </c>
      <c r="S76" s="81">
        <f t="shared" si="47"/>
        <v>0</v>
      </c>
      <c r="T76" s="143">
        <f t="shared" si="48"/>
        <v>500000</v>
      </c>
      <c r="U76" s="155">
        <f t="shared" si="45"/>
        <v>0</v>
      </c>
      <c r="V76" s="148">
        <f t="shared" si="45"/>
        <v>0</v>
      </c>
      <c r="W76" s="148">
        <f t="shared" si="45"/>
        <v>500000</v>
      </c>
      <c r="X76" s="156">
        <f t="shared" si="45"/>
        <v>0</v>
      </c>
    </row>
    <row r="77" spans="2:24" x14ac:dyDescent="0.35">
      <c r="C77" s="284"/>
      <c r="D77" s="76"/>
      <c r="E77" s="76"/>
      <c r="F77" s="77"/>
      <c r="G77" s="76"/>
      <c r="H77" s="78"/>
      <c r="I77" s="78"/>
      <c r="J77" s="114"/>
      <c r="K77" s="78"/>
      <c r="L77" s="114"/>
      <c r="M77" s="116">
        <f t="shared" si="46"/>
        <v>0</v>
      </c>
      <c r="N77" s="80">
        <v>150000</v>
      </c>
      <c r="O77" s="81">
        <f t="shared" si="47"/>
        <v>0</v>
      </c>
      <c r="P77" s="81">
        <f t="shared" si="47"/>
        <v>0</v>
      </c>
      <c r="Q77" s="81">
        <f t="shared" si="47"/>
        <v>0</v>
      </c>
      <c r="R77" s="81">
        <f t="shared" si="47"/>
        <v>0</v>
      </c>
      <c r="S77" s="81">
        <f t="shared" si="47"/>
        <v>0</v>
      </c>
      <c r="T77" s="143">
        <f t="shared" si="48"/>
        <v>0</v>
      </c>
      <c r="U77" s="155">
        <f t="shared" si="45"/>
        <v>0</v>
      </c>
      <c r="V77" s="148">
        <f t="shared" si="45"/>
        <v>0</v>
      </c>
      <c r="W77" s="148">
        <f t="shared" si="45"/>
        <v>0</v>
      </c>
      <c r="X77" s="156">
        <f t="shared" si="45"/>
        <v>0</v>
      </c>
    </row>
    <row r="78" spans="2:24" ht="15" thickBot="1" x14ac:dyDescent="0.4">
      <c r="C78" s="285"/>
      <c r="D78" s="67"/>
      <c r="E78" s="67"/>
      <c r="F78" s="68"/>
      <c r="G78" s="67"/>
      <c r="H78" s="52"/>
      <c r="I78" s="52"/>
      <c r="J78" s="52"/>
      <c r="K78" s="115"/>
      <c r="L78" s="52"/>
      <c r="M78" s="117">
        <f>SUM(H78:L78)</f>
        <v>0</v>
      </c>
      <c r="N78" s="64">
        <v>150000</v>
      </c>
      <c r="O78" s="49">
        <f t="shared" si="47"/>
        <v>0</v>
      </c>
      <c r="P78" s="49">
        <f t="shared" si="47"/>
        <v>0</v>
      </c>
      <c r="Q78" s="49">
        <f t="shared" si="47"/>
        <v>0</v>
      </c>
      <c r="R78" s="49">
        <f t="shared" si="47"/>
        <v>0</v>
      </c>
      <c r="S78" s="49">
        <f t="shared" si="47"/>
        <v>0</v>
      </c>
      <c r="T78" s="141">
        <f t="shared" si="48"/>
        <v>0</v>
      </c>
      <c r="U78" s="157">
        <f t="shared" si="45"/>
        <v>0</v>
      </c>
      <c r="V78" s="158">
        <f t="shared" si="45"/>
        <v>0</v>
      </c>
      <c r="W78" s="158">
        <f t="shared" si="45"/>
        <v>0</v>
      </c>
      <c r="X78" s="159">
        <f t="shared" si="45"/>
        <v>0</v>
      </c>
    </row>
    <row r="79" spans="2:24" ht="15" thickBot="1" x14ac:dyDescent="0.4">
      <c r="C79" s="16"/>
      <c r="D79" s="9"/>
      <c r="E79" s="9"/>
      <c r="F79" s="9"/>
      <c r="G79" s="9"/>
      <c r="H79" s="9"/>
      <c r="I79" s="9"/>
      <c r="J79" s="5"/>
      <c r="K79" s="5"/>
      <c r="L79" s="5"/>
      <c r="M79" s="5"/>
      <c r="N79" s="4"/>
      <c r="O79" s="39"/>
      <c r="P79" s="39"/>
      <c r="Q79" s="40"/>
      <c r="R79" s="40"/>
      <c r="S79" s="40"/>
      <c r="T79" s="41"/>
      <c r="U79" s="41"/>
      <c r="V79" s="41"/>
      <c r="W79" s="41"/>
      <c r="X79" s="41"/>
    </row>
    <row r="80" spans="2:24" s="45" customFormat="1" ht="15" thickBot="1" x14ac:dyDescent="0.4">
      <c r="C80" s="47"/>
      <c r="D80" s="46"/>
      <c r="E80" s="46"/>
      <c r="F80" s="46"/>
      <c r="G80" s="46"/>
      <c r="H80" s="46"/>
      <c r="I80" s="46"/>
      <c r="J80" s="46"/>
      <c r="K80" s="46"/>
      <c r="L80" s="87"/>
      <c r="M80" s="88"/>
      <c r="N80" s="89" t="s">
        <v>98</v>
      </c>
      <c r="O80" s="83">
        <f>SUM(O74:O78)</f>
        <v>830000</v>
      </c>
      <c r="P80" s="84">
        <f>SUM(P74:P78)</f>
        <v>1080000</v>
      </c>
      <c r="Q80" s="84">
        <f>SUM(Q74:Q78)</f>
        <v>830000</v>
      </c>
      <c r="R80" s="84">
        <f>SUM(R74:R78)</f>
        <v>580000</v>
      </c>
      <c r="S80" s="85">
        <f>SUM(S74:S78)</f>
        <v>80000</v>
      </c>
      <c r="T80" s="61">
        <f>SUM(O80:S80)</f>
        <v>3400000</v>
      </c>
      <c r="U80" s="147">
        <f>SUM(U74:U78)</f>
        <v>0</v>
      </c>
      <c r="V80" s="149">
        <f>SUM(V74:V78)</f>
        <v>0</v>
      </c>
      <c r="W80" s="149">
        <f>SUM(W74:W78)</f>
        <v>3400000</v>
      </c>
      <c r="X80" s="150">
        <f>SUM(X74:X78)</f>
        <v>0</v>
      </c>
    </row>
    <row r="81" spans="2:24" s="2" customFormat="1" x14ac:dyDescent="0.35">
      <c r="C81" s="16"/>
      <c r="D81" s="9"/>
      <c r="E81" s="9"/>
      <c r="F81" s="9"/>
      <c r="G81" s="9"/>
      <c r="H81" s="9"/>
      <c r="I81" s="9"/>
      <c r="J81" s="5"/>
      <c r="K81" s="5"/>
      <c r="L81" s="5"/>
      <c r="M81" s="5"/>
      <c r="N81" s="4"/>
      <c r="O81" s="41"/>
      <c r="P81" s="41"/>
      <c r="Q81" s="41"/>
      <c r="R81" s="41"/>
      <c r="S81" s="41"/>
      <c r="T81" s="42"/>
      <c r="U81" s="42"/>
      <c r="V81" s="42"/>
      <c r="W81" s="42"/>
      <c r="X81" s="42"/>
    </row>
    <row r="82" spans="2:24" x14ac:dyDescent="0.35">
      <c r="C82" s="16"/>
      <c r="D82" s="9"/>
      <c r="E82" s="9"/>
      <c r="F82" s="9"/>
      <c r="G82" s="9"/>
      <c r="H82" s="9"/>
      <c r="I82" s="9"/>
      <c r="J82" s="5"/>
      <c r="K82" s="5"/>
      <c r="L82" s="5"/>
      <c r="M82" s="5"/>
      <c r="N82" s="4"/>
      <c r="O82" s="41"/>
      <c r="P82" s="41"/>
      <c r="Q82" s="41"/>
      <c r="R82" s="41"/>
      <c r="S82" s="41"/>
      <c r="T82" s="42"/>
      <c r="U82" s="42"/>
      <c r="V82" s="42"/>
      <c r="W82" s="42"/>
      <c r="X82" s="42"/>
    </row>
    <row r="83" spans="2:24" ht="15" thickBot="1" x14ac:dyDescent="0.4">
      <c r="C83" s="16"/>
      <c r="D83" s="9"/>
      <c r="E83" s="9"/>
      <c r="F83" s="9"/>
      <c r="G83" s="9"/>
      <c r="H83" s="9"/>
      <c r="I83" s="9"/>
      <c r="J83" s="5"/>
      <c r="K83" s="5"/>
      <c r="L83" s="5"/>
      <c r="M83" s="5"/>
      <c r="N83" s="4"/>
      <c r="O83" s="41"/>
      <c r="P83" s="41"/>
      <c r="Q83" s="41"/>
      <c r="R83" s="41"/>
      <c r="S83" s="41"/>
      <c r="T83" s="42"/>
      <c r="U83" s="42"/>
      <c r="V83" s="42"/>
      <c r="W83" s="42"/>
      <c r="X83" s="42"/>
    </row>
    <row r="84" spans="2:24" ht="29.5" thickBot="1" x14ac:dyDescent="0.4">
      <c r="C84" s="91"/>
      <c r="D84" s="92"/>
      <c r="E84" s="92"/>
      <c r="F84" s="92"/>
      <c r="G84" s="92"/>
      <c r="H84" s="92"/>
      <c r="I84" s="92"/>
      <c r="J84" s="93"/>
      <c r="K84" s="93"/>
      <c r="L84" s="93"/>
      <c r="M84" s="93"/>
      <c r="N84" s="94"/>
      <c r="O84" s="100" t="s">
        <v>64</v>
      </c>
      <c r="P84" s="100" t="s">
        <v>39</v>
      </c>
      <c r="Q84" s="100" t="s">
        <v>65</v>
      </c>
      <c r="R84" s="100" t="s">
        <v>66</v>
      </c>
      <c r="S84" s="101" t="s">
        <v>67</v>
      </c>
      <c r="T84" s="105" t="s">
        <v>55</v>
      </c>
      <c r="U84" s="144"/>
      <c r="V84" s="144"/>
      <c r="W84" s="144"/>
      <c r="X84" s="144"/>
    </row>
    <row r="85" spans="2:24" s="45" customFormat="1" ht="15" thickBot="1" x14ac:dyDescent="0.4">
      <c r="C85" s="95"/>
      <c r="D85" s="96"/>
      <c r="E85" s="96"/>
      <c r="F85" s="96"/>
      <c r="G85" s="96"/>
      <c r="H85" s="96"/>
      <c r="I85" s="96"/>
      <c r="J85" s="96"/>
      <c r="K85" s="96"/>
      <c r="L85" s="90"/>
      <c r="M85" s="97"/>
      <c r="N85" s="98" t="s">
        <v>99</v>
      </c>
      <c r="O85" s="102">
        <f>O80+O70+O32+O57+O40</f>
        <v>3115000</v>
      </c>
      <c r="P85" s="102">
        <f>P80+P70+P32+P57+P40</f>
        <v>3825000</v>
      </c>
      <c r="Q85" s="102">
        <f>Q80+Q70+Q32+Q57+Q40</f>
        <v>3833000</v>
      </c>
      <c r="R85" s="102">
        <f>R80+R70+R32+R57+R40</f>
        <v>1382000</v>
      </c>
      <c r="S85" s="102">
        <f>S80+S70+S32+S57+S40</f>
        <v>782000</v>
      </c>
      <c r="T85" s="99">
        <f>SUM(O85:S85)</f>
        <v>12937000</v>
      </c>
      <c r="U85" s="147">
        <f>SUM(U80,U70,U32,U57,U40)</f>
        <v>0</v>
      </c>
      <c r="V85" s="149">
        <f>SUM(V80,V70,V32,V57,V40)</f>
        <v>1200000</v>
      </c>
      <c r="W85" s="149">
        <f>SUM(W80,W70,W32,W57,W40)</f>
        <v>11737000</v>
      </c>
      <c r="X85" s="150">
        <f>SUM(X80,X70,X32,X57,X40)</f>
        <v>0</v>
      </c>
    </row>
    <row r="86" spans="2:24" x14ac:dyDescent="0.35">
      <c r="C86" s="2"/>
      <c r="D86" s="2"/>
      <c r="E86" s="2"/>
      <c r="F86" s="2"/>
      <c r="G86" s="2"/>
      <c r="H86" s="2"/>
      <c r="I86" s="2"/>
      <c r="J86" s="5"/>
      <c r="K86" s="5"/>
      <c r="L86" s="5"/>
      <c r="M86" s="5"/>
      <c r="N86" s="4"/>
      <c r="O86" s="39"/>
      <c r="P86" s="39"/>
      <c r="Q86" s="39"/>
      <c r="R86" s="39"/>
      <c r="S86" s="39"/>
      <c r="T86" s="39"/>
      <c r="U86" s="39"/>
      <c r="V86" s="39"/>
      <c r="W86" s="39"/>
      <c r="X86" s="39"/>
    </row>
    <row r="87" spans="2:24" ht="15" thickBot="1" x14ac:dyDescent="0.4">
      <c r="C87" s="2"/>
      <c r="D87" s="2"/>
      <c r="E87" s="2"/>
      <c r="F87" s="2"/>
      <c r="G87" s="2"/>
      <c r="H87" s="2"/>
      <c r="I87" s="2"/>
      <c r="J87" s="5"/>
      <c r="K87" s="5"/>
      <c r="L87" s="5"/>
      <c r="M87" s="5"/>
      <c r="N87" s="4"/>
      <c r="O87" s="39"/>
      <c r="P87" s="39"/>
      <c r="Q87" s="39"/>
      <c r="R87" s="39"/>
      <c r="S87" s="39"/>
      <c r="T87" s="39"/>
      <c r="U87" s="39"/>
      <c r="V87" s="39"/>
      <c r="W87" s="39"/>
      <c r="X87" s="39"/>
    </row>
    <row r="88" spans="2:24" s="71" customFormat="1" ht="29" x14ac:dyDescent="0.35">
      <c r="C88" s="75" t="s">
        <v>91</v>
      </c>
      <c r="D88" s="74" t="s">
        <v>7</v>
      </c>
      <c r="E88" s="74"/>
      <c r="F88" s="74"/>
      <c r="G88" s="74" t="s">
        <v>26</v>
      </c>
      <c r="H88" s="72">
        <v>2021</v>
      </c>
      <c r="I88" s="72">
        <v>2022</v>
      </c>
      <c r="J88" s="72">
        <v>2023</v>
      </c>
      <c r="K88" s="72">
        <v>2024</v>
      </c>
      <c r="L88" s="72">
        <v>2025</v>
      </c>
      <c r="M88" s="69" t="s">
        <v>36</v>
      </c>
      <c r="N88" s="62" t="s">
        <v>37</v>
      </c>
      <c r="O88" s="73" t="s">
        <v>64</v>
      </c>
      <c r="P88" s="73" t="s">
        <v>39</v>
      </c>
      <c r="Q88" s="73" t="s">
        <v>65</v>
      </c>
      <c r="R88" s="120" t="s">
        <v>66</v>
      </c>
      <c r="S88" s="128" t="s">
        <v>67</v>
      </c>
      <c r="T88" s="151" t="s">
        <v>111</v>
      </c>
      <c r="U88" s="160"/>
      <c r="V88" s="161"/>
      <c r="W88" s="161"/>
      <c r="X88" s="162"/>
    </row>
    <row r="89" spans="2:24" x14ac:dyDescent="0.35">
      <c r="B89" s="170">
        <v>4.2</v>
      </c>
      <c r="C89" s="284" t="s">
        <v>48</v>
      </c>
      <c r="D89" s="65" t="s">
        <v>318</v>
      </c>
      <c r="E89" s="65" t="s">
        <v>265</v>
      </c>
      <c r="F89" s="66"/>
      <c r="G89" s="65" t="s">
        <v>32</v>
      </c>
      <c r="H89" s="126"/>
      <c r="I89" s="127"/>
      <c r="J89" s="127"/>
      <c r="K89" s="127"/>
      <c r="L89" s="127"/>
      <c r="M89" s="127">
        <f t="shared" ref="M89:M90" si="49">SUM(H89:K89)</f>
        <v>0</v>
      </c>
      <c r="N89" s="118">
        <v>7.0000000000000007E-2</v>
      </c>
      <c r="O89" s="48">
        <v>0</v>
      </c>
      <c r="P89" s="48">
        <f>ROUND($N89*O40+O89,-3)</f>
        <v>0</v>
      </c>
      <c r="Q89" s="48">
        <f>ROUND($N89*P40+P89,-3)</f>
        <v>28000</v>
      </c>
      <c r="R89" s="48">
        <f>ROUND($N89*Q40+Q89,-3)</f>
        <v>56000</v>
      </c>
      <c r="S89" s="48">
        <f>ROUND($N89*R40+R89,-3)</f>
        <v>56000</v>
      </c>
      <c r="T89" s="140">
        <f t="shared" ref="T89:T90" si="50">SUM(O89:S89)</f>
        <v>140000</v>
      </c>
      <c r="U89" s="155">
        <f t="shared" ref="U89:X90" si="51">IF($E89=U$2,$T89,0)</f>
        <v>0</v>
      </c>
      <c r="V89" s="148">
        <f t="shared" si="51"/>
        <v>0</v>
      </c>
      <c r="W89" s="148">
        <f t="shared" si="51"/>
        <v>140000</v>
      </c>
      <c r="X89" s="156">
        <f t="shared" si="51"/>
        <v>0</v>
      </c>
    </row>
    <row r="90" spans="2:24" ht="15" thickBot="1" x14ac:dyDescent="0.4">
      <c r="B90" s="170">
        <v>4.2</v>
      </c>
      <c r="C90" s="285"/>
      <c r="D90" s="67" t="s">
        <v>319</v>
      </c>
      <c r="E90" s="65" t="s">
        <v>265</v>
      </c>
      <c r="F90" s="68"/>
      <c r="G90" s="67" t="s">
        <v>32</v>
      </c>
      <c r="H90" s="129"/>
      <c r="I90" s="130"/>
      <c r="J90" s="130"/>
      <c r="K90" s="130"/>
      <c r="L90" s="130"/>
      <c r="M90" s="130">
        <f t="shared" si="49"/>
        <v>0</v>
      </c>
      <c r="N90" s="119">
        <v>7.0000000000000007E-2</v>
      </c>
      <c r="O90" s="49">
        <v>0</v>
      </c>
      <c r="P90" s="49">
        <f>ROUND($N90*O57+O90,-3)</f>
        <v>84000</v>
      </c>
      <c r="Q90" s="49">
        <f>ROUND($N90*P57+P90,-3)</f>
        <v>169000</v>
      </c>
      <c r="R90" s="49">
        <f>ROUND($N90*Q57+Q90,-3)</f>
        <v>196000</v>
      </c>
      <c r="S90" s="49">
        <f>ROUND($N90*R57+R90,-3)</f>
        <v>203000</v>
      </c>
      <c r="T90" s="141">
        <f t="shared" si="50"/>
        <v>652000</v>
      </c>
      <c r="U90" s="157">
        <f t="shared" si="51"/>
        <v>0</v>
      </c>
      <c r="V90" s="158">
        <f t="shared" si="51"/>
        <v>0</v>
      </c>
      <c r="W90" s="158">
        <f t="shared" si="51"/>
        <v>652000</v>
      </c>
      <c r="X90" s="159">
        <f t="shared" si="51"/>
        <v>0</v>
      </c>
    </row>
    <row r="91" spans="2:24" ht="15" thickBot="1" x14ac:dyDescent="0.4">
      <c r="C91" s="16"/>
      <c r="D91" s="9"/>
      <c r="E91" s="9"/>
      <c r="F91" s="9"/>
      <c r="G91" s="9"/>
      <c r="H91" s="9"/>
      <c r="I91" s="9"/>
      <c r="J91" s="5"/>
      <c r="K91" s="5"/>
      <c r="L91" s="5"/>
      <c r="M91" s="5"/>
      <c r="N91" s="4"/>
      <c r="O91" s="39"/>
      <c r="P91" s="39"/>
      <c r="Q91" s="40"/>
      <c r="R91" s="40"/>
      <c r="S91" s="40"/>
      <c r="T91" s="41"/>
      <c r="U91" s="41"/>
      <c r="V91" s="41"/>
      <c r="W91" s="41"/>
      <c r="X91" s="41"/>
    </row>
    <row r="92" spans="2:24" s="45" customFormat="1" ht="15" thickBot="1" x14ac:dyDescent="0.4">
      <c r="C92" s="47"/>
      <c r="D92" s="46"/>
      <c r="E92" s="46"/>
      <c r="F92" s="46"/>
      <c r="G92" s="46"/>
      <c r="H92" s="46"/>
      <c r="I92" s="46"/>
      <c r="J92" s="46"/>
      <c r="K92" s="46"/>
      <c r="L92" s="87"/>
      <c r="M92" s="88"/>
      <c r="N92" s="89" t="s">
        <v>100</v>
      </c>
      <c r="O92" s="83">
        <f>SUM(O89:O90)</f>
        <v>0</v>
      </c>
      <c r="P92" s="84">
        <f>SUM(P89:P90)</f>
        <v>84000</v>
      </c>
      <c r="Q92" s="84">
        <f>SUM(Q89:Q90)</f>
        <v>197000</v>
      </c>
      <c r="R92" s="84">
        <f>SUM(R89:R90)</f>
        <v>252000</v>
      </c>
      <c r="S92" s="85">
        <f>SUM(S89:S90)</f>
        <v>259000</v>
      </c>
      <c r="T92" s="61">
        <f>SUM(O92:S92)</f>
        <v>792000</v>
      </c>
      <c r="U92" s="147">
        <f>SUM(U89:U90)</f>
        <v>0</v>
      </c>
      <c r="V92" s="149">
        <f t="shared" ref="V92:X92" si="52">SUM(V89:V90)</f>
        <v>0</v>
      </c>
      <c r="W92" s="149">
        <f t="shared" si="52"/>
        <v>792000</v>
      </c>
      <c r="X92" s="150">
        <f t="shared" si="52"/>
        <v>0</v>
      </c>
    </row>
    <row r="93" spans="2:24" x14ac:dyDescent="0.35">
      <c r="C93" s="2"/>
      <c r="D93" s="2"/>
      <c r="E93" s="2"/>
      <c r="F93" s="2"/>
      <c r="G93" s="2"/>
      <c r="H93" s="2"/>
      <c r="I93" s="2"/>
      <c r="J93" s="5"/>
      <c r="K93" s="5"/>
      <c r="L93" s="5"/>
      <c r="M93" s="5"/>
      <c r="N93" s="4"/>
      <c r="O93" s="39"/>
      <c r="P93" s="39"/>
      <c r="Q93" s="39"/>
      <c r="R93" s="39"/>
      <c r="S93" s="39"/>
      <c r="T93" s="39"/>
      <c r="U93" s="39"/>
      <c r="V93" s="39"/>
      <c r="W93" s="39"/>
      <c r="X93" s="39"/>
    </row>
    <row r="94" spans="2:24" ht="15" thickBot="1" x14ac:dyDescent="0.4">
      <c r="C94" s="2"/>
      <c r="D94" s="2"/>
      <c r="E94" s="2"/>
      <c r="F94" s="2"/>
      <c r="G94" s="2"/>
      <c r="H94" s="2"/>
      <c r="I94" s="2"/>
      <c r="J94" s="5"/>
      <c r="K94" s="5"/>
      <c r="L94" s="5"/>
      <c r="M94" s="5"/>
      <c r="N94" s="4"/>
      <c r="O94" s="39"/>
      <c r="P94" s="39"/>
      <c r="Q94" s="39"/>
      <c r="R94" s="39"/>
      <c r="S94" s="39"/>
      <c r="T94" s="39"/>
      <c r="U94" s="39"/>
      <c r="V94" s="39"/>
      <c r="W94" s="39"/>
      <c r="X94" s="39"/>
    </row>
    <row r="95" spans="2:24" ht="30" thickTop="1" thickBot="1" x14ac:dyDescent="0.4">
      <c r="C95" s="91"/>
      <c r="D95" s="92"/>
      <c r="E95" s="92"/>
      <c r="F95" s="92"/>
      <c r="G95" s="92"/>
      <c r="H95" s="92"/>
      <c r="I95" s="92"/>
      <c r="J95" s="93"/>
      <c r="K95" s="93"/>
      <c r="L95" s="93"/>
      <c r="M95" s="93"/>
      <c r="N95" s="94"/>
      <c r="O95" s="43" t="s">
        <v>64</v>
      </c>
      <c r="P95" s="43" t="s">
        <v>39</v>
      </c>
      <c r="Q95" s="43" t="s">
        <v>65</v>
      </c>
      <c r="R95" s="43" t="s">
        <v>66</v>
      </c>
      <c r="S95" s="43" t="s">
        <v>67</v>
      </c>
      <c r="T95" s="86" t="s">
        <v>83</v>
      </c>
      <c r="U95" s="160"/>
      <c r="V95" s="161"/>
      <c r="W95" s="161"/>
      <c r="X95" s="162"/>
    </row>
    <row r="96" spans="2:24" s="45" customFormat="1" ht="15.5" thickTop="1" thickBot="1" x14ac:dyDescent="0.4">
      <c r="C96" s="95"/>
      <c r="D96" s="96"/>
      <c r="E96" s="96"/>
      <c r="F96" s="96"/>
      <c r="G96" s="96"/>
      <c r="H96" s="96"/>
      <c r="I96" s="96"/>
      <c r="J96" s="96"/>
      <c r="K96" s="96"/>
      <c r="L96" s="90"/>
      <c r="M96" s="97"/>
      <c r="N96" s="98" t="s">
        <v>101</v>
      </c>
      <c r="O96" s="102">
        <f t="shared" ref="O96:S96" si="53">O92+O85</f>
        <v>3115000</v>
      </c>
      <c r="P96" s="103">
        <f t="shared" si="53"/>
        <v>3909000</v>
      </c>
      <c r="Q96" s="103">
        <f t="shared" si="53"/>
        <v>4030000</v>
      </c>
      <c r="R96" s="103">
        <f t="shared" si="53"/>
        <v>1634000</v>
      </c>
      <c r="S96" s="104">
        <f t="shared" si="53"/>
        <v>1041000</v>
      </c>
      <c r="T96" s="86">
        <f>T92+T85</f>
        <v>13729000</v>
      </c>
      <c r="U96" s="147">
        <f t="shared" ref="U96:X96" si="54">U92+U85</f>
        <v>0</v>
      </c>
      <c r="V96" s="149">
        <f t="shared" si="54"/>
        <v>1200000</v>
      </c>
      <c r="W96" s="149">
        <f t="shared" si="54"/>
        <v>12529000</v>
      </c>
      <c r="X96" s="150">
        <f t="shared" si="54"/>
        <v>0</v>
      </c>
    </row>
    <row r="97" spans="3:24" s="2" customFormat="1" x14ac:dyDescent="0.35">
      <c r="C97" s="16"/>
      <c r="D97" s="9"/>
      <c r="E97" s="9"/>
      <c r="F97" s="9"/>
      <c r="G97" s="9"/>
      <c r="H97" s="9"/>
      <c r="I97" s="9"/>
      <c r="J97" s="5"/>
      <c r="K97" s="5"/>
      <c r="L97" s="5"/>
      <c r="M97" s="5"/>
      <c r="N97" s="4"/>
      <c r="O97" s="41"/>
      <c r="P97" s="41"/>
      <c r="Q97" s="41"/>
      <c r="R97" s="41"/>
      <c r="S97" s="41"/>
      <c r="T97" s="42"/>
      <c r="U97" s="42"/>
      <c r="V97" s="42"/>
      <c r="W97" s="42"/>
      <c r="X97" s="42"/>
    </row>
    <row r="98" spans="3:24" ht="15" thickBot="1" x14ac:dyDescent="0.4">
      <c r="N98" s="11"/>
      <c r="O98" s="11"/>
      <c r="P98" s="11"/>
      <c r="Q98" s="11"/>
      <c r="R98" s="11"/>
      <c r="S98" s="11"/>
      <c r="T98" s="11"/>
      <c r="U98" s="11"/>
      <c r="V98" s="11"/>
      <c r="W98" s="11"/>
      <c r="X98" s="11"/>
    </row>
    <row r="99" spans="3:24" s="71" customFormat="1" x14ac:dyDescent="0.35">
      <c r="C99" s="75" t="s">
        <v>93</v>
      </c>
      <c r="D99" s="74" t="s">
        <v>7</v>
      </c>
      <c r="E99" s="74"/>
      <c r="F99" s="74"/>
      <c r="G99" s="74" t="s">
        <v>26</v>
      </c>
      <c r="H99" s="72">
        <v>2021</v>
      </c>
      <c r="I99" s="72">
        <v>2022</v>
      </c>
      <c r="J99" s="72">
        <v>2023</v>
      </c>
      <c r="K99" s="72">
        <v>2024</v>
      </c>
      <c r="L99" s="72">
        <v>2025</v>
      </c>
      <c r="M99" s="69"/>
      <c r="N99" s="62"/>
      <c r="O99" s="73">
        <v>2018</v>
      </c>
      <c r="P99" s="73">
        <v>2019</v>
      </c>
      <c r="Q99" s="73">
        <v>2020</v>
      </c>
      <c r="R99" s="73">
        <v>2021</v>
      </c>
      <c r="S99" s="73">
        <v>2022</v>
      </c>
      <c r="T99" s="70" t="s">
        <v>0</v>
      </c>
      <c r="U99" s="11"/>
      <c r="V99" s="11"/>
      <c r="W99" s="11"/>
      <c r="X99" s="11"/>
    </row>
    <row r="100" spans="3:24" x14ac:dyDescent="0.35">
      <c r="C100" s="284" t="s">
        <v>49</v>
      </c>
      <c r="D100" s="6" t="s">
        <v>50</v>
      </c>
      <c r="E100" s="6"/>
      <c r="F100" s="6"/>
      <c r="G100" s="6" t="s">
        <v>52</v>
      </c>
      <c r="H100" s="32"/>
      <c r="I100" s="33"/>
      <c r="J100" s="33"/>
      <c r="K100" s="33"/>
      <c r="L100" s="33"/>
      <c r="M100" s="29"/>
      <c r="N100" s="26"/>
      <c r="O100" s="26"/>
      <c r="P100" s="26"/>
      <c r="Q100" s="26"/>
      <c r="R100" s="26"/>
      <c r="S100" s="27"/>
      <c r="T100" s="34"/>
      <c r="U100" s="11"/>
      <c r="V100" s="11"/>
      <c r="W100" s="11"/>
      <c r="X100" s="11"/>
    </row>
    <row r="101" spans="3:24" x14ac:dyDescent="0.35">
      <c r="C101" s="284"/>
      <c r="D101" s="6" t="s">
        <v>51</v>
      </c>
      <c r="E101" s="6"/>
      <c r="F101" s="6"/>
      <c r="G101" s="6" t="s">
        <v>53</v>
      </c>
      <c r="H101" s="25"/>
      <c r="I101" s="25"/>
      <c r="J101" s="25"/>
      <c r="K101" s="25"/>
      <c r="L101" s="25"/>
      <c r="M101" s="30"/>
      <c r="N101" s="25"/>
      <c r="O101" s="10">
        <f>H100*H101</f>
        <v>0</v>
      </c>
      <c r="P101" s="10">
        <f t="shared" ref="P101:S101" si="55">I100*I101</f>
        <v>0</v>
      </c>
      <c r="Q101" s="10">
        <f t="shared" si="55"/>
        <v>0</v>
      </c>
      <c r="R101" s="10">
        <f t="shared" si="55"/>
        <v>0</v>
      </c>
      <c r="S101" s="10">
        <f t="shared" si="55"/>
        <v>0</v>
      </c>
      <c r="T101" s="21">
        <f t="shared" ref="T101:T102" si="56">SUM(O101:S101)</f>
        <v>0</v>
      </c>
      <c r="U101" s="11"/>
      <c r="V101" s="11"/>
      <c r="W101" s="11"/>
      <c r="X101" s="11"/>
    </row>
    <row r="102" spans="3:24" ht="15" thickBot="1" x14ac:dyDescent="0.4">
      <c r="C102" s="285"/>
      <c r="D102" s="17" t="s">
        <v>61</v>
      </c>
      <c r="E102" s="17"/>
      <c r="F102" s="17"/>
      <c r="G102" s="17" t="s">
        <v>54</v>
      </c>
      <c r="H102" s="28"/>
      <c r="I102" s="28"/>
      <c r="J102" s="28"/>
      <c r="K102" s="28"/>
      <c r="L102" s="28"/>
      <c r="M102" s="31"/>
      <c r="N102" s="28"/>
      <c r="O102" s="18">
        <f>H100*H102</f>
        <v>0</v>
      </c>
      <c r="P102" s="18">
        <f t="shared" ref="P102:S102" si="57">I100*I102</f>
        <v>0</v>
      </c>
      <c r="Q102" s="18">
        <f t="shared" si="57"/>
        <v>0</v>
      </c>
      <c r="R102" s="18">
        <f t="shared" si="57"/>
        <v>0</v>
      </c>
      <c r="S102" s="23">
        <f t="shared" si="57"/>
        <v>0</v>
      </c>
      <c r="T102" s="22">
        <f t="shared" si="56"/>
        <v>0</v>
      </c>
      <c r="U102" s="11"/>
      <c r="V102" s="11"/>
      <c r="W102" s="11"/>
      <c r="X102" s="11"/>
    </row>
    <row r="103" spans="3:24" ht="15" thickBot="1" x14ac:dyDescent="0.4">
      <c r="C103" s="8"/>
      <c r="D103" s="7"/>
      <c r="E103" s="7"/>
      <c r="F103" s="7"/>
      <c r="G103" s="7"/>
      <c r="H103" s="13"/>
      <c r="I103" s="13"/>
      <c r="J103" s="14"/>
      <c r="K103" s="14"/>
      <c r="L103" s="14"/>
      <c r="M103" s="11"/>
      <c r="N103" s="11"/>
      <c r="O103" s="11"/>
      <c r="P103" s="11"/>
      <c r="Q103" s="11"/>
      <c r="R103" s="11"/>
      <c r="S103" s="11"/>
      <c r="T103" s="24"/>
      <c r="U103" s="11"/>
      <c r="V103" s="11"/>
      <c r="W103" s="11"/>
      <c r="X103" s="11"/>
    </row>
    <row r="104" spans="3:24" ht="15" thickBot="1" x14ac:dyDescent="0.4">
      <c r="L104" s="87"/>
      <c r="M104" s="88"/>
      <c r="N104" s="89" t="s">
        <v>102</v>
      </c>
      <c r="O104" s="35">
        <f>O102</f>
        <v>0</v>
      </c>
      <c r="P104" s="35">
        <f t="shared" ref="P104:S104" si="58">P102</f>
        <v>0</v>
      </c>
      <c r="Q104" s="35">
        <f t="shared" si="58"/>
        <v>0</v>
      </c>
      <c r="R104" s="35">
        <f t="shared" si="58"/>
        <v>0</v>
      </c>
      <c r="S104" s="35">
        <f t="shared" si="58"/>
        <v>0</v>
      </c>
      <c r="T104" s="15">
        <f>SUM(O104:S104)</f>
        <v>0</v>
      </c>
      <c r="U104" s="11"/>
      <c r="V104" s="11"/>
      <c r="W104" s="11"/>
      <c r="X104" s="11"/>
    </row>
    <row r="105" spans="3:24" ht="15" thickBot="1" x14ac:dyDescent="0.4">
      <c r="U105" s="11"/>
      <c r="V105" s="11"/>
      <c r="W105" s="11"/>
      <c r="X105" s="11"/>
    </row>
    <row r="106" spans="3:24" ht="44.5" thickTop="1" thickBot="1" x14ac:dyDescent="0.4">
      <c r="C106" s="106"/>
      <c r="D106" s="112" t="s">
        <v>103</v>
      </c>
      <c r="E106" s="107"/>
      <c r="F106" s="107"/>
      <c r="G106" s="107"/>
      <c r="H106" s="107"/>
      <c r="I106" s="107"/>
      <c r="J106" s="107"/>
      <c r="K106" s="107"/>
      <c r="L106" s="107"/>
      <c r="M106" s="107"/>
      <c r="N106" s="108"/>
      <c r="O106" s="19" t="s">
        <v>64</v>
      </c>
      <c r="P106" s="19" t="s">
        <v>39</v>
      </c>
      <c r="Q106" s="19" t="s">
        <v>65</v>
      </c>
      <c r="R106" s="19" t="s">
        <v>66</v>
      </c>
      <c r="S106" s="44" t="s">
        <v>67</v>
      </c>
      <c r="T106" s="20" t="s">
        <v>84</v>
      </c>
      <c r="U106" s="11"/>
      <c r="V106" s="11"/>
      <c r="W106" s="11"/>
      <c r="X106" s="11"/>
    </row>
    <row r="107" spans="3:24" s="45" customFormat="1" ht="15" thickBot="1" x14ac:dyDescent="0.4">
      <c r="C107" s="109"/>
      <c r="D107" s="110"/>
      <c r="E107" s="110"/>
      <c r="F107" s="110"/>
      <c r="G107" s="110"/>
      <c r="H107" s="110"/>
      <c r="I107" s="110"/>
      <c r="J107" s="110"/>
      <c r="K107" s="110"/>
      <c r="L107" s="110"/>
      <c r="M107" s="110"/>
      <c r="N107" s="111"/>
      <c r="O107" s="83">
        <f>O92+O104</f>
        <v>0</v>
      </c>
      <c r="P107" s="84">
        <f>P92+P104</f>
        <v>84000</v>
      </c>
      <c r="Q107" s="84">
        <f>Q92+Q104</f>
        <v>197000</v>
      </c>
      <c r="R107" s="84">
        <f>R92+R104</f>
        <v>252000</v>
      </c>
      <c r="S107" s="85">
        <f>S92+S104</f>
        <v>259000</v>
      </c>
      <c r="T107" s="61">
        <f>S107</f>
        <v>259000</v>
      </c>
      <c r="U107" s="11"/>
      <c r="V107" s="11"/>
      <c r="W107" s="11"/>
      <c r="X107" s="11"/>
    </row>
    <row r="108" spans="3:24" x14ac:dyDescent="0.35">
      <c r="Q108" s="282"/>
      <c r="R108" s="282"/>
      <c r="S108" s="113"/>
      <c r="U108" s="11"/>
      <c r="V108" s="11"/>
      <c r="W108" s="11"/>
      <c r="X108" s="11"/>
    </row>
    <row r="109" spans="3:24" x14ac:dyDescent="0.35">
      <c r="Q109" s="283"/>
      <c r="R109" s="283"/>
      <c r="S109" s="113"/>
      <c r="U109" s="11"/>
      <c r="V109" s="11"/>
      <c r="W109" s="11"/>
      <c r="X109" s="11"/>
    </row>
    <row r="110" spans="3:24" x14ac:dyDescent="0.35">
      <c r="U110" s="11"/>
      <c r="V110" s="11"/>
      <c r="W110" s="11"/>
      <c r="X110" s="11"/>
    </row>
    <row r="111" spans="3:24" x14ac:dyDescent="0.35">
      <c r="U111" s="11"/>
      <c r="V111" s="11"/>
      <c r="W111" s="11"/>
      <c r="X111" s="11"/>
    </row>
    <row r="112" spans="3:24" x14ac:dyDescent="0.35">
      <c r="U112" s="11"/>
      <c r="V112" s="11"/>
      <c r="W112" s="11"/>
      <c r="X112" s="11"/>
    </row>
    <row r="113" spans="21:24" x14ac:dyDescent="0.35">
      <c r="U113" s="11"/>
      <c r="V113" s="11"/>
      <c r="W113" s="11"/>
      <c r="X113" s="11"/>
    </row>
    <row r="114" spans="21:24" x14ac:dyDescent="0.35">
      <c r="U114" s="11"/>
      <c r="V114" s="11"/>
      <c r="W114" s="11"/>
      <c r="X114" s="11"/>
    </row>
    <row r="115" spans="21:24" x14ac:dyDescent="0.35">
      <c r="U115" s="11"/>
      <c r="V115" s="11"/>
      <c r="W115" s="11"/>
      <c r="X115" s="11"/>
    </row>
    <row r="116" spans="21:24" x14ac:dyDescent="0.35">
      <c r="U116" s="11"/>
      <c r="V116" s="11"/>
      <c r="W116" s="11"/>
      <c r="X116" s="11"/>
    </row>
  </sheetData>
  <mergeCells count="8">
    <mergeCell ref="C100:C102"/>
    <mergeCell ref="Q108:R109"/>
    <mergeCell ref="C4:C30"/>
    <mergeCell ref="C35:C38"/>
    <mergeCell ref="C44:C55"/>
    <mergeCell ref="C62:C68"/>
    <mergeCell ref="C74:C78"/>
    <mergeCell ref="C89:C90"/>
  </mergeCells>
  <phoneticPr fontId="8" type="noConversion"/>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A3C186D264F940ADBAB1EE3C7CAA06" ma:contentTypeVersion="15" ma:contentTypeDescription="Create a new document." ma:contentTypeScope="" ma:versionID="6922f0f04029b4c77c8c068ee3a4ea94">
  <xsd:schema xmlns:xsd="http://www.w3.org/2001/XMLSchema" xmlns:xs="http://www.w3.org/2001/XMLSchema" xmlns:p="http://schemas.microsoft.com/office/2006/metadata/properties" xmlns:ns1="http://schemas.microsoft.com/sharepoint/v3" xmlns:ns3="ab236ac6-2fe6-4d08-adca-cf461bf8e5f7" xmlns:ns4="a4019cf0-fc96-4c6a-98c4-edfea20c6e55" targetNamespace="http://schemas.microsoft.com/office/2006/metadata/properties" ma:root="true" ma:fieldsID="8d52e8b445d88d5b99caf78b4837489f" ns1:_="" ns3:_="" ns4:_="">
    <xsd:import namespace="http://schemas.microsoft.com/sharepoint/v3"/>
    <xsd:import namespace="ab236ac6-2fe6-4d08-adca-cf461bf8e5f7"/>
    <xsd:import namespace="a4019cf0-fc96-4c6a-98c4-edfea20c6e5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1:_ip_UnifiedCompliancePolicyProperties" minOccurs="0"/>
                <xsd:element ref="ns1:_ip_UnifiedCompliancePolicyUIAc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236ac6-2fe6-4d08-adca-cf461bf8e5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019cf0-fc96-4c6a-98c4-edfea20c6e55"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EED0BC6-0051-48C8-9454-6AE403DFB3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b236ac6-2fe6-4d08-adca-cf461bf8e5f7"/>
    <ds:schemaRef ds:uri="a4019cf0-fc96-4c6a-98c4-edfea20c6e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38D6F0-E101-445A-A56E-0D6FAAA1971E}">
  <ds:schemaRefs>
    <ds:schemaRef ds:uri="http://schemas.microsoft.com/sharepoint/v3/contenttype/forms"/>
  </ds:schemaRefs>
</ds:datastoreItem>
</file>

<file path=customXml/itemProps3.xml><?xml version="1.0" encoding="utf-8"?>
<ds:datastoreItem xmlns:ds="http://schemas.openxmlformats.org/officeDocument/2006/customXml" ds:itemID="{26F74F4E-9C5C-4CCE-9E56-2C9BC7EBA4BF}">
  <ds:schemaRefs>
    <ds:schemaRef ds:uri="http://schemas.openxmlformats.org/package/2006/metadata/core-properties"/>
    <ds:schemaRef ds:uri="http://purl.org/dc/terms/"/>
    <ds:schemaRef ds:uri="http://schemas.microsoft.com/office/2006/metadata/properties"/>
    <ds:schemaRef ds:uri="http://www.w3.org/XML/1998/namespace"/>
    <ds:schemaRef ds:uri="http://purl.org/dc/elements/1.1/"/>
    <ds:schemaRef ds:uri="http://schemas.microsoft.com/office/2006/documentManagement/types"/>
    <ds:schemaRef ds:uri="http://schemas.microsoft.com/office/infopath/2007/PartnerControls"/>
    <ds:schemaRef ds:uri="a4019cf0-fc96-4c6a-98c4-edfea20c6e55"/>
    <ds:schemaRef ds:uri="ab236ac6-2fe6-4d08-adca-cf461bf8e5f7"/>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Résumé FS2</vt:lpstr>
      <vt:lpstr>PMC</vt:lpstr>
      <vt:lpstr>COM Act</vt:lpstr>
      <vt:lpstr>MAD Act</vt:lpstr>
      <vt:lpstr>SEY Act</vt:lpstr>
      <vt:lpstr>MAU Act</vt:lpstr>
      <vt:lpstr>REGIONAL</vt:lpstr>
      <vt:lpstr>'COM Act'!Print_Area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2020-03-19T16:59:51Z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0x010100F4A3C186D264F940ADBAB1EE3C7CAA06</vt:lpwstr>
  </property>
</Properties>
</file>