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fhamade\Documents\02_SYNO_IREEDD\1_Production_1\02_Affaires\AI059_Hydromet_COI\4-Production\8-Fady\Rapport_FHA\Valorisation_monetaire\Le_modele\Version-2\"/>
    </mc:Choice>
  </mc:AlternateContent>
  <xr:revisionPtr revIDLastSave="0" documentId="13_ncr:1_{F5FE1FCB-A192-48FC-B615-A060C0F3E8B4}" xr6:coauthVersionLast="45" xr6:coauthVersionMax="45" xr10:uidLastSave="{00000000-0000-0000-0000-000000000000}"/>
  <bookViews>
    <workbookView xWindow="-120" yWindow="-120" windowWidth="19440" windowHeight="10440" xr2:uid="{6C053A4F-9454-4D7E-A99A-4133015B8DCC}"/>
  </bookViews>
  <sheets>
    <sheet name="Présentation" sheetId="22" r:id="rId1"/>
    <sheet name="Résumé" sheetId="23" r:id="rId2"/>
    <sheet name="1-ACB" sheetId="16" r:id="rId3"/>
    <sheet name="2-Bénéfices SAP" sheetId="15" r:id="rId4"/>
    <sheet name="3-Benefices Agric" sheetId="17" r:id="rId5"/>
    <sheet name="4-ACB-sensibilite" sheetId="19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9" l="1"/>
  <c r="C18" i="16"/>
  <c r="C16" i="16"/>
  <c r="M16" i="16"/>
  <c r="C13" i="16"/>
  <c r="C12" i="16"/>
  <c r="C11" i="16"/>
  <c r="C10" i="16"/>
  <c r="C9" i="16"/>
  <c r="C8" i="16"/>
  <c r="C7" i="16"/>
  <c r="L18" i="16" l="1"/>
  <c r="K18" i="16"/>
  <c r="J18" i="16"/>
  <c r="I18" i="16"/>
  <c r="H18" i="16"/>
  <c r="D7" i="19" l="1"/>
  <c r="E7" i="19"/>
  <c r="F7" i="19"/>
  <c r="G7" i="19"/>
  <c r="H7" i="19"/>
  <c r="D8" i="19"/>
  <c r="E8" i="19"/>
  <c r="F8" i="19"/>
  <c r="G8" i="19"/>
  <c r="H8" i="19"/>
  <c r="D9" i="19"/>
  <c r="E9" i="19"/>
  <c r="F9" i="19"/>
  <c r="G9" i="19"/>
  <c r="H9" i="19"/>
  <c r="D10" i="19"/>
  <c r="E10" i="19"/>
  <c r="F10" i="19"/>
  <c r="G10" i="19"/>
  <c r="H10" i="19"/>
  <c r="D11" i="19"/>
  <c r="E11" i="19"/>
  <c r="F11" i="19"/>
  <c r="G11" i="19"/>
  <c r="H11" i="19"/>
  <c r="C12" i="19"/>
  <c r="D12" i="19"/>
  <c r="E12" i="19"/>
  <c r="F12" i="19"/>
  <c r="G12" i="19"/>
  <c r="H12" i="19"/>
  <c r="C16" i="19"/>
  <c r="D16" i="19"/>
  <c r="E16" i="19"/>
  <c r="F16" i="19"/>
  <c r="G16" i="19"/>
  <c r="H16" i="19"/>
  <c r="G18" i="19"/>
  <c r="I13" i="19"/>
  <c r="J13" i="19"/>
  <c r="K13" i="19"/>
  <c r="L13" i="19"/>
  <c r="M13" i="19"/>
  <c r="F18" i="19"/>
  <c r="E18" i="19"/>
  <c r="D18" i="19"/>
  <c r="C11" i="19"/>
  <c r="C10" i="19"/>
  <c r="C9" i="19"/>
  <c r="C8" i="19"/>
  <c r="C7" i="19"/>
  <c r="C18" i="19" l="1"/>
  <c r="J16" i="19"/>
  <c r="J18" i="19" s="1"/>
  <c r="J20" i="19" s="1"/>
  <c r="C13" i="19"/>
  <c r="F33" i="17"/>
  <c r="E33" i="17"/>
  <c r="D33" i="17"/>
  <c r="C33" i="17"/>
  <c r="I18" i="19" l="1"/>
  <c r="I20" i="19" s="1"/>
  <c r="K16" i="19"/>
  <c r="K18" i="19" s="1"/>
  <c r="K20" i="19" s="1"/>
  <c r="L16" i="19" l="1"/>
  <c r="L18" i="19" s="1"/>
  <c r="L20" i="19" s="1"/>
  <c r="M16" i="19"/>
  <c r="M18" i="19" s="1"/>
  <c r="M20" i="19" s="1"/>
  <c r="K25" i="17" l="1"/>
  <c r="L25" i="17" s="1"/>
  <c r="M25" i="17" s="1"/>
  <c r="C25" i="17"/>
  <c r="D25" i="17" s="1"/>
  <c r="E25" i="17" s="1"/>
  <c r="F25" i="17" s="1"/>
  <c r="K24" i="17"/>
  <c r="L24" i="17" s="1"/>
  <c r="M24" i="17" s="1"/>
  <c r="C24" i="17"/>
  <c r="D24" i="17" s="1"/>
  <c r="E24" i="17" s="1"/>
  <c r="F24" i="17" s="1"/>
  <c r="K23" i="17"/>
  <c r="L23" i="17" s="1"/>
  <c r="M23" i="17" s="1"/>
  <c r="C23" i="17"/>
  <c r="D23" i="17" s="1"/>
  <c r="E23" i="17" s="1"/>
  <c r="F23" i="17" s="1"/>
  <c r="K22" i="17"/>
  <c r="L22" i="17" s="1"/>
  <c r="M22" i="17" s="1"/>
  <c r="C22" i="17"/>
  <c r="D22" i="17" s="1"/>
  <c r="E22" i="17" s="1"/>
  <c r="F22" i="17" s="1"/>
  <c r="K21" i="17"/>
  <c r="L21" i="17" s="1"/>
  <c r="M21" i="17" s="1"/>
  <c r="C21" i="17"/>
  <c r="D21" i="17" s="1"/>
  <c r="E21" i="17" s="1"/>
  <c r="F21" i="17" s="1"/>
  <c r="K20" i="17"/>
  <c r="C20" i="17"/>
  <c r="D20" i="17" s="1"/>
  <c r="J12" i="17"/>
  <c r="K12" i="17" s="1"/>
  <c r="L12" i="17" s="1"/>
  <c r="M12" i="17" s="1"/>
  <c r="D12" i="17"/>
  <c r="E12" i="17" s="1"/>
  <c r="F12" i="17" s="1"/>
  <c r="J11" i="17"/>
  <c r="K11" i="17" s="1"/>
  <c r="L11" i="17" s="1"/>
  <c r="M11" i="17" s="1"/>
  <c r="D11" i="17"/>
  <c r="E11" i="17" s="1"/>
  <c r="F11" i="17" s="1"/>
  <c r="J10" i="17"/>
  <c r="K10" i="17" s="1"/>
  <c r="L10" i="17" s="1"/>
  <c r="M10" i="17" s="1"/>
  <c r="D10" i="17"/>
  <c r="E10" i="17" s="1"/>
  <c r="F10" i="17" s="1"/>
  <c r="J9" i="17"/>
  <c r="K9" i="17" s="1"/>
  <c r="L9" i="17" s="1"/>
  <c r="M9" i="17" s="1"/>
  <c r="D9" i="17"/>
  <c r="E9" i="17" s="1"/>
  <c r="F9" i="17" s="1"/>
  <c r="J8" i="17"/>
  <c r="K8" i="17" s="1"/>
  <c r="L8" i="17" s="1"/>
  <c r="M8" i="17" s="1"/>
  <c r="D8" i="17"/>
  <c r="E8" i="17" s="1"/>
  <c r="F8" i="17" s="1"/>
  <c r="J7" i="17"/>
  <c r="K7" i="17" s="1"/>
  <c r="D7" i="17"/>
  <c r="E7" i="17" s="1"/>
  <c r="F7" i="17" s="1"/>
  <c r="J48" i="15"/>
  <c r="I48" i="15"/>
  <c r="H48" i="15"/>
  <c r="G48" i="15"/>
  <c r="F48" i="15"/>
  <c r="E48" i="15"/>
  <c r="D48" i="15"/>
  <c r="J46" i="15"/>
  <c r="I46" i="15"/>
  <c r="H46" i="15"/>
  <c r="G46" i="15"/>
  <c r="F46" i="15"/>
  <c r="E46" i="15"/>
  <c r="D46" i="15"/>
  <c r="J44" i="15"/>
  <c r="I44" i="15"/>
  <c r="H44" i="15"/>
  <c r="G44" i="15"/>
  <c r="F44" i="15"/>
  <c r="E44" i="15"/>
  <c r="D44" i="15"/>
  <c r="E42" i="15"/>
  <c r="F42" i="15"/>
  <c r="G42" i="15"/>
  <c r="H42" i="15"/>
  <c r="I42" i="15"/>
  <c r="J42" i="15"/>
  <c r="D42" i="15"/>
  <c r="J47" i="15"/>
  <c r="I47" i="15"/>
  <c r="H47" i="15"/>
  <c r="G47" i="15"/>
  <c r="F47" i="15"/>
  <c r="E47" i="15"/>
  <c r="D47" i="15"/>
  <c r="J45" i="15"/>
  <c r="I45" i="15"/>
  <c r="H45" i="15"/>
  <c r="G45" i="15"/>
  <c r="F45" i="15"/>
  <c r="E45" i="15"/>
  <c r="D45" i="15"/>
  <c r="J43" i="15"/>
  <c r="I43" i="15"/>
  <c r="H43" i="15"/>
  <c r="G43" i="15"/>
  <c r="F43" i="15"/>
  <c r="E43" i="15"/>
  <c r="D43" i="15"/>
  <c r="J41" i="15"/>
  <c r="I41" i="15"/>
  <c r="H41" i="15"/>
  <c r="G41" i="15"/>
  <c r="F41" i="15"/>
  <c r="E41" i="15"/>
  <c r="D41" i="15"/>
  <c r="K13" i="17" l="1"/>
  <c r="K14" i="17" s="1"/>
  <c r="K26" i="17"/>
  <c r="K27" i="17" s="1"/>
  <c r="D26" i="17"/>
  <c r="D27" i="17" s="1"/>
  <c r="E20" i="17"/>
  <c r="F20" i="17" s="1"/>
  <c r="E13" i="17"/>
  <c r="F13" i="17"/>
  <c r="F14" i="17" s="1"/>
  <c r="L7" i="17"/>
  <c r="M7" i="17" s="1"/>
  <c r="D13" i="17"/>
  <c r="D14" i="17" s="1"/>
  <c r="L20" i="17"/>
  <c r="M20" i="17" s="1"/>
  <c r="D15" i="17" l="1"/>
  <c r="D16" i="17" s="1"/>
  <c r="L13" i="17"/>
  <c r="M13" i="17"/>
  <c r="M14" i="17" s="1"/>
  <c r="K15" i="17" s="1"/>
  <c r="K16" i="17" s="1"/>
  <c r="E26" i="17"/>
  <c r="F26" i="17"/>
  <c r="F27" i="17" s="1"/>
  <c r="D28" i="17" s="1"/>
  <c r="D29" i="17" s="1"/>
  <c r="L26" i="17"/>
  <c r="M26" i="17"/>
  <c r="M27" i="17" s="1"/>
  <c r="K28" i="17" s="1"/>
  <c r="K29" i="17" s="1"/>
  <c r="F34" i="17" l="1"/>
  <c r="F37" i="17" s="1"/>
  <c r="C34" i="17"/>
  <c r="C37" i="17" s="1"/>
  <c r="D34" i="17"/>
  <c r="D37" i="17" s="1"/>
  <c r="E34" i="17"/>
  <c r="E37" i="17" s="1"/>
  <c r="H35" i="19"/>
  <c r="G35" i="19"/>
  <c r="F35" i="19"/>
  <c r="E35" i="19"/>
  <c r="D35" i="19"/>
  <c r="C35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H24" i="19"/>
  <c r="G24" i="19"/>
  <c r="F24" i="19"/>
  <c r="E24" i="19"/>
  <c r="D24" i="19"/>
  <c r="C24" i="19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AI13" i="16"/>
  <c r="AJ13" i="16"/>
  <c r="AK13" i="16"/>
  <c r="AL13" i="16"/>
  <c r="AM13" i="16"/>
  <c r="AN13" i="16"/>
  <c r="AO13" i="16"/>
  <c r="AP13" i="16"/>
  <c r="AQ13" i="16"/>
  <c r="AR13" i="16"/>
  <c r="AS13" i="16"/>
  <c r="AT13" i="16"/>
  <c r="AU13" i="16"/>
  <c r="AV13" i="16"/>
  <c r="AW13" i="16"/>
  <c r="AX13" i="16"/>
  <c r="AY13" i="16"/>
  <c r="AZ13" i="16"/>
  <c r="BA13" i="16"/>
  <c r="BB13" i="16"/>
  <c r="BC13" i="16"/>
  <c r="BD13" i="16"/>
  <c r="BE13" i="16"/>
  <c r="M13" i="16"/>
  <c r="L33" i="16"/>
  <c r="K33" i="16"/>
  <c r="J33" i="16"/>
  <c r="I33" i="16"/>
  <c r="H33" i="16"/>
  <c r="I24" i="19" l="1"/>
  <c r="J24" i="19" l="1"/>
  <c r="N16" i="19" l="1"/>
  <c r="K24" i="19"/>
  <c r="L24" i="19" l="1"/>
  <c r="N18" i="19"/>
  <c r="N20" i="19" s="1"/>
  <c r="O16" i="19"/>
  <c r="O18" i="19" l="1"/>
  <c r="O20" i="19" s="1"/>
  <c r="P16" i="19"/>
  <c r="M24" i="19"/>
  <c r="Q16" i="19" l="1"/>
  <c r="P18" i="19"/>
  <c r="P20" i="19" s="1"/>
  <c r="N24" i="19"/>
  <c r="O24" i="19" l="1"/>
  <c r="Q18" i="19"/>
  <c r="Q20" i="19" s="1"/>
  <c r="R16" i="19"/>
  <c r="R18" i="19" l="1"/>
  <c r="R20" i="19" s="1"/>
  <c r="S16" i="19"/>
  <c r="P24" i="19"/>
  <c r="Q24" i="19" l="1"/>
  <c r="S18" i="19"/>
  <c r="S20" i="19" s="1"/>
  <c r="T16" i="19"/>
  <c r="T18" i="19" l="1"/>
  <c r="T20" i="19" s="1"/>
  <c r="U16" i="19"/>
  <c r="R24" i="19"/>
  <c r="S24" i="19" l="1"/>
  <c r="U18" i="19"/>
  <c r="U20" i="19" s="1"/>
  <c r="V16" i="19"/>
  <c r="V18" i="19" l="1"/>
  <c r="V20" i="19" s="1"/>
  <c r="W16" i="19"/>
  <c r="T24" i="19"/>
  <c r="U24" i="19" l="1"/>
  <c r="X16" i="19"/>
  <c r="W18" i="19"/>
  <c r="W20" i="19" s="1"/>
  <c r="Y16" i="19" l="1"/>
  <c r="X18" i="19"/>
  <c r="X20" i="19" s="1"/>
  <c r="V24" i="19"/>
  <c r="W24" i="19" l="1"/>
  <c r="Y18" i="19"/>
  <c r="Y20" i="19" s="1"/>
  <c r="Z16" i="19"/>
  <c r="Z18" i="19" l="1"/>
  <c r="Z20" i="19" s="1"/>
  <c r="AA16" i="19"/>
  <c r="X24" i="19"/>
  <c r="AB16" i="19" l="1"/>
  <c r="AA18" i="19"/>
  <c r="AA20" i="19" s="1"/>
  <c r="Y24" i="19"/>
  <c r="Z24" i="19" l="1"/>
  <c r="AC16" i="19"/>
  <c r="AB18" i="19"/>
  <c r="AB20" i="19" s="1"/>
  <c r="AA24" i="19" l="1"/>
  <c r="AC18" i="19"/>
  <c r="AC20" i="19" s="1"/>
  <c r="AD16" i="19"/>
  <c r="AD18" i="19" l="1"/>
  <c r="AD20" i="19" s="1"/>
  <c r="AE16" i="19"/>
  <c r="AB24" i="19"/>
  <c r="AE18" i="19" l="1"/>
  <c r="AE20" i="19" s="1"/>
  <c r="AF16" i="19"/>
  <c r="AC24" i="19"/>
  <c r="AD24" i="19" l="1"/>
  <c r="AG16" i="19"/>
  <c r="AF18" i="19"/>
  <c r="AF20" i="19" s="1"/>
  <c r="AG18" i="19" l="1"/>
  <c r="AG20" i="19" s="1"/>
  <c r="AH16" i="19"/>
  <c r="AE24" i="19"/>
  <c r="AH18" i="19" l="1"/>
  <c r="AH20" i="19" s="1"/>
  <c r="AI16" i="19"/>
  <c r="AF24" i="19"/>
  <c r="AI18" i="19" l="1"/>
  <c r="AI20" i="19" s="1"/>
  <c r="AJ16" i="19"/>
  <c r="AG24" i="19"/>
  <c r="AH24" i="19" l="1"/>
  <c r="AJ18" i="19"/>
  <c r="AJ20" i="19" s="1"/>
  <c r="AK16" i="19"/>
  <c r="AL16" i="19" l="1"/>
  <c r="AK18" i="19"/>
  <c r="AK20" i="19" s="1"/>
  <c r="AI24" i="19"/>
  <c r="AJ24" i="19" l="1"/>
  <c r="AL18" i="19"/>
  <c r="AL20" i="19" s="1"/>
  <c r="AM16" i="19"/>
  <c r="AK24" i="19" l="1"/>
  <c r="AM18" i="19"/>
  <c r="AM20" i="19" s="1"/>
  <c r="AN16" i="19"/>
  <c r="AL24" i="19" l="1"/>
  <c r="AO16" i="19"/>
  <c r="AN18" i="19"/>
  <c r="AN20" i="19" s="1"/>
  <c r="AO18" i="19" l="1"/>
  <c r="AO20" i="19" s="1"/>
  <c r="AP16" i="19"/>
  <c r="AM24" i="19"/>
  <c r="AP18" i="19" l="1"/>
  <c r="AP20" i="19" s="1"/>
  <c r="AQ16" i="19"/>
  <c r="AN24" i="19"/>
  <c r="AR16" i="19" l="1"/>
  <c r="AQ18" i="19"/>
  <c r="AQ20" i="19" s="1"/>
  <c r="AO24" i="19"/>
  <c r="AP24" i="19" l="1"/>
  <c r="AS16" i="19"/>
  <c r="AR18" i="19"/>
  <c r="AR20" i="19" s="1"/>
  <c r="AS18" i="19" l="1"/>
  <c r="AS20" i="19" s="1"/>
  <c r="AT16" i="19"/>
  <c r="AQ24" i="19"/>
  <c r="AT18" i="19" l="1"/>
  <c r="AT20" i="19" s="1"/>
  <c r="AU16" i="19"/>
  <c r="AR24" i="19"/>
  <c r="AS24" i="19" l="1"/>
  <c r="AU18" i="19"/>
  <c r="AU20" i="19" s="1"/>
  <c r="AV16" i="19"/>
  <c r="AW16" i="19" l="1"/>
  <c r="AV18" i="19"/>
  <c r="AV20" i="19" s="1"/>
  <c r="AT24" i="19"/>
  <c r="M3" i="16"/>
  <c r="N3" i="16" s="1"/>
  <c r="O3" i="16" s="1"/>
  <c r="P3" i="16" s="1"/>
  <c r="Q3" i="16" s="1"/>
  <c r="R3" i="16" s="1"/>
  <c r="S3" i="16" s="1"/>
  <c r="T3" i="16" s="1"/>
  <c r="U3" i="16" s="1"/>
  <c r="V3" i="16" s="1"/>
  <c r="W3" i="16" s="1"/>
  <c r="X3" i="16" s="1"/>
  <c r="Y3" i="16" s="1"/>
  <c r="Z3" i="16" s="1"/>
  <c r="AA3" i="16" s="1"/>
  <c r="AB3" i="16" s="1"/>
  <c r="AC3" i="16" s="1"/>
  <c r="AD3" i="16" s="1"/>
  <c r="AE3" i="16" s="1"/>
  <c r="AF3" i="16" s="1"/>
  <c r="AG3" i="16" s="1"/>
  <c r="AH3" i="16" s="1"/>
  <c r="AI3" i="16" s="1"/>
  <c r="AJ3" i="16" s="1"/>
  <c r="AK3" i="16" s="1"/>
  <c r="AL3" i="16" s="1"/>
  <c r="AM3" i="16" s="1"/>
  <c r="AN3" i="16" s="1"/>
  <c r="AO3" i="16" s="1"/>
  <c r="AP3" i="16" s="1"/>
  <c r="AQ3" i="16" s="1"/>
  <c r="AR3" i="16" s="1"/>
  <c r="AS3" i="16" s="1"/>
  <c r="AT3" i="16" s="1"/>
  <c r="AU3" i="16" s="1"/>
  <c r="AV3" i="16" s="1"/>
  <c r="AW3" i="16" s="1"/>
  <c r="AX3" i="16" s="1"/>
  <c r="AY3" i="16" s="1"/>
  <c r="AZ3" i="16" s="1"/>
  <c r="BA3" i="16" s="1"/>
  <c r="BB3" i="16" s="1"/>
  <c r="BC3" i="16" s="1"/>
  <c r="BD3" i="16" s="1"/>
  <c r="BE3" i="16" s="1"/>
  <c r="M32" i="16"/>
  <c r="I34" i="19" s="1"/>
  <c r="M31" i="16"/>
  <c r="I33" i="19" s="1"/>
  <c r="M30" i="16"/>
  <c r="I32" i="19" s="1"/>
  <c r="M29" i="16"/>
  <c r="I31" i="19" s="1"/>
  <c r="H22" i="16"/>
  <c r="I22" i="16"/>
  <c r="J22" i="16"/>
  <c r="K22" i="16"/>
  <c r="H18" i="19"/>
  <c r="F20" i="16" l="1"/>
  <c r="BE22" i="16"/>
  <c r="G22" i="16"/>
  <c r="F22" i="16"/>
  <c r="D22" i="16"/>
  <c r="E22" i="16"/>
  <c r="N16" i="16"/>
  <c r="C20" i="16"/>
  <c r="C20" i="19" s="1"/>
  <c r="N30" i="16"/>
  <c r="C22" i="16"/>
  <c r="N32" i="16"/>
  <c r="AU24" i="19"/>
  <c r="N31" i="16"/>
  <c r="N29" i="16"/>
  <c r="AW18" i="19"/>
  <c r="AW20" i="19" s="1"/>
  <c r="AX16" i="19"/>
  <c r="I13" i="16"/>
  <c r="K13" i="16"/>
  <c r="L13" i="16"/>
  <c r="H13" i="16"/>
  <c r="J13" i="16"/>
  <c r="P22" i="16"/>
  <c r="T22" i="16"/>
  <c r="X22" i="16"/>
  <c r="AB22" i="16"/>
  <c r="AF22" i="16"/>
  <c r="AJ22" i="16"/>
  <c r="AN22" i="16"/>
  <c r="AR22" i="16"/>
  <c r="AV22" i="16"/>
  <c r="AZ22" i="16"/>
  <c r="BD22" i="16"/>
  <c r="N22" i="16"/>
  <c r="R22" i="16"/>
  <c r="V22" i="16"/>
  <c r="Z22" i="16"/>
  <c r="AD22" i="16"/>
  <c r="AH22" i="16"/>
  <c r="AL22" i="16"/>
  <c r="AP22" i="16"/>
  <c r="AT22" i="16"/>
  <c r="AX22" i="16"/>
  <c r="BB22" i="16"/>
  <c r="O22" i="16"/>
  <c r="S22" i="16"/>
  <c r="W22" i="16"/>
  <c r="AA22" i="16"/>
  <c r="AE22" i="16"/>
  <c r="AI22" i="16"/>
  <c r="AM22" i="16"/>
  <c r="AQ22" i="16"/>
  <c r="AU22" i="16"/>
  <c r="AY22" i="16"/>
  <c r="BC22" i="16"/>
  <c r="L22" i="16"/>
  <c r="M22" i="16"/>
  <c r="Q22" i="16"/>
  <c r="U22" i="16"/>
  <c r="Y22" i="16"/>
  <c r="AC22" i="16"/>
  <c r="AG22" i="16"/>
  <c r="AK22" i="16"/>
  <c r="AO22" i="16"/>
  <c r="AS22" i="16"/>
  <c r="AW22" i="16"/>
  <c r="BA22" i="16"/>
  <c r="K20" i="16" l="1"/>
  <c r="G13" i="19"/>
  <c r="H20" i="16"/>
  <c r="D20" i="19" s="1"/>
  <c r="D37" i="19" s="1"/>
  <c r="D13" i="19"/>
  <c r="L20" i="16"/>
  <c r="H13" i="19"/>
  <c r="J20" i="16"/>
  <c r="J34" i="16" s="1"/>
  <c r="F13" i="19"/>
  <c r="I20" i="16"/>
  <c r="E20" i="19" s="1"/>
  <c r="E37" i="19" s="1"/>
  <c r="E13" i="19"/>
  <c r="K34" i="16"/>
  <c r="G20" i="19"/>
  <c r="G37" i="19" s="1"/>
  <c r="I34" i="16"/>
  <c r="L34" i="16"/>
  <c r="H20" i="19"/>
  <c r="M18" i="16"/>
  <c r="M20" i="16" s="1"/>
  <c r="E20" i="16"/>
  <c r="D20" i="16"/>
  <c r="G20" i="16"/>
  <c r="O30" i="16"/>
  <c r="J32" i="19"/>
  <c r="O32" i="16"/>
  <c r="J34" i="19"/>
  <c r="O29" i="16"/>
  <c r="J31" i="19"/>
  <c r="O31" i="16"/>
  <c r="J33" i="19"/>
  <c r="AV24" i="19"/>
  <c r="AX18" i="19"/>
  <c r="AX20" i="19" s="1"/>
  <c r="AY16" i="19"/>
  <c r="O16" i="16"/>
  <c r="N18" i="16"/>
  <c r="N20" i="16" s="1"/>
  <c r="H34" i="16" l="1"/>
  <c r="F20" i="19"/>
  <c r="F37" i="19" s="1"/>
  <c r="H37" i="19"/>
  <c r="P31" i="16"/>
  <c r="K33" i="19"/>
  <c r="P32" i="16"/>
  <c r="K34" i="19"/>
  <c r="P29" i="16"/>
  <c r="K31" i="19"/>
  <c r="P30" i="16"/>
  <c r="K32" i="19"/>
  <c r="AW24" i="19"/>
  <c r="AY18" i="19"/>
  <c r="AY20" i="19" s="1"/>
  <c r="AZ16" i="19"/>
  <c r="P16" i="16"/>
  <c r="O18" i="16"/>
  <c r="O20" i="16" s="1"/>
  <c r="Q30" i="16" l="1"/>
  <c r="L32" i="19"/>
  <c r="Q32" i="16"/>
  <c r="L34" i="19"/>
  <c r="Q29" i="16"/>
  <c r="L31" i="19"/>
  <c r="Q31" i="16"/>
  <c r="L33" i="19"/>
  <c r="AX24" i="19"/>
  <c r="AZ18" i="19"/>
  <c r="AZ20" i="19" s="1"/>
  <c r="BA16" i="19"/>
  <c r="Q16" i="16"/>
  <c r="P18" i="16"/>
  <c r="P20" i="16" s="1"/>
  <c r="BA18" i="19" l="1"/>
  <c r="BA20" i="19" s="1"/>
  <c r="C21" i="19" s="1"/>
  <c r="R31" i="16"/>
  <c r="M33" i="19"/>
  <c r="R32" i="16"/>
  <c r="M34" i="19"/>
  <c r="R29" i="16"/>
  <c r="M31" i="19"/>
  <c r="R30" i="16"/>
  <c r="M32" i="19"/>
  <c r="AY24" i="19"/>
  <c r="R16" i="16"/>
  <c r="Q18" i="16"/>
  <c r="Q20" i="16" s="1"/>
  <c r="C40" i="19" l="1"/>
  <c r="C42" i="19"/>
  <c r="C41" i="19"/>
  <c r="C43" i="19"/>
  <c r="S30" i="16"/>
  <c r="N32" i="19"/>
  <c r="S32" i="16"/>
  <c r="N34" i="19"/>
  <c r="S29" i="16"/>
  <c r="N31" i="19"/>
  <c r="S31" i="16"/>
  <c r="N33" i="19"/>
  <c r="AZ24" i="19"/>
  <c r="S16" i="16"/>
  <c r="R18" i="16"/>
  <c r="R20" i="16" s="1"/>
  <c r="BA24" i="19" l="1"/>
  <c r="T31" i="16"/>
  <c r="O33" i="19"/>
  <c r="T32" i="16"/>
  <c r="O34" i="19"/>
  <c r="T29" i="16"/>
  <c r="O31" i="19"/>
  <c r="T30" i="16"/>
  <c r="O32" i="19"/>
  <c r="T16" i="16"/>
  <c r="S18" i="16"/>
  <c r="S20" i="16" s="1"/>
  <c r="J34" i="15"/>
  <c r="I34" i="15"/>
  <c r="H34" i="15"/>
  <c r="G34" i="15"/>
  <c r="F34" i="15"/>
  <c r="E34" i="15"/>
  <c r="D34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J18" i="15"/>
  <c r="I18" i="15"/>
  <c r="H18" i="15"/>
  <c r="G18" i="15"/>
  <c r="F18" i="15"/>
  <c r="E18" i="15"/>
  <c r="D18" i="15"/>
  <c r="U30" i="16" l="1"/>
  <c r="P32" i="19"/>
  <c r="U32" i="16"/>
  <c r="P34" i="19"/>
  <c r="U29" i="16"/>
  <c r="P31" i="19"/>
  <c r="U31" i="16"/>
  <c r="P33" i="19"/>
  <c r="D53" i="15"/>
  <c r="M25" i="16"/>
  <c r="I27" i="19" s="1"/>
  <c r="M27" i="16"/>
  <c r="I29" i="19" s="1"/>
  <c r="F52" i="15"/>
  <c r="J52" i="15"/>
  <c r="G53" i="15"/>
  <c r="H52" i="15"/>
  <c r="E53" i="15"/>
  <c r="I53" i="15"/>
  <c r="M26" i="16"/>
  <c r="I28" i="19" s="1"/>
  <c r="H53" i="15"/>
  <c r="U16" i="16"/>
  <c r="T18" i="16"/>
  <c r="T20" i="16" s="1"/>
  <c r="E51" i="15"/>
  <c r="I51" i="15"/>
  <c r="G51" i="15"/>
  <c r="E52" i="15"/>
  <c r="I52" i="15"/>
  <c r="F53" i="15"/>
  <c r="J53" i="15"/>
  <c r="D52" i="15"/>
  <c r="M24" i="16"/>
  <c r="I26" i="19" s="1"/>
  <c r="D51" i="15"/>
  <c r="H51" i="15"/>
  <c r="G52" i="15"/>
  <c r="F51" i="15"/>
  <c r="J51" i="15"/>
  <c r="V31" i="16" l="1"/>
  <c r="Q33" i="19"/>
  <c r="V32" i="16"/>
  <c r="Q34" i="19"/>
  <c r="V29" i="16"/>
  <c r="Q31" i="19"/>
  <c r="V30" i="16"/>
  <c r="Q32" i="19"/>
  <c r="I35" i="19"/>
  <c r="I37" i="19" s="1"/>
  <c r="N26" i="16"/>
  <c r="J28" i="19" s="1"/>
  <c r="N27" i="16"/>
  <c r="J29" i="19" s="1"/>
  <c r="N25" i="16"/>
  <c r="J27" i="19" s="1"/>
  <c r="V16" i="16"/>
  <c r="U18" i="16"/>
  <c r="U20" i="16" s="1"/>
  <c r="M33" i="16"/>
  <c r="N24" i="16"/>
  <c r="J26" i="19" s="1"/>
  <c r="M34" i="16" l="1"/>
  <c r="W30" i="16"/>
  <c r="R32" i="19"/>
  <c r="W32" i="16"/>
  <c r="R34" i="19"/>
  <c r="W29" i="16"/>
  <c r="R31" i="19"/>
  <c r="W31" i="16"/>
  <c r="R33" i="19"/>
  <c r="O26" i="16"/>
  <c r="K28" i="19" s="1"/>
  <c r="O27" i="16"/>
  <c r="K29" i="19" s="1"/>
  <c r="O25" i="16"/>
  <c r="K27" i="19" s="1"/>
  <c r="J35" i="19"/>
  <c r="J37" i="19" s="1"/>
  <c r="W16" i="16"/>
  <c r="V18" i="16"/>
  <c r="V20" i="16" s="1"/>
  <c r="O24" i="16"/>
  <c r="K26" i="19" s="1"/>
  <c r="N33" i="16"/>
  <c r="N34" i="16" s="1"/>
  <c r="X31" i="16" l="1"/>
  <c r="S33" i="19"/>
  <c r="X32" i="16"/>
  <c r="S34" i="19"/>
  <c r="X29" i="16"/>
  <c r="S31" i="19"/>
  <c r="X30" i="16"/>
  <c r="S32" i="19"/>
  <c r="P27" i="16"/>
  <c r="L29" i="19" s="1"/>
  <c r="P25" i="16"/>
  <c r="L27" i="19" s="1"/>
  <c r="P26" i="16"/>
  <c r="L28" i="19" s="1"/>
  <c r="P24" i="16"/>
  <c r="L26" i="19" s="1"/>
  <c r="O33" i="16"/>
  <c r="O34" i="16" s="1"/>
  <c r="X16" i="16"/>
  <c r="W18" i="16"/>
  <c r="W20" i="16" s="1"/>
  <c r="Y30" i="16" l="1"/>
  <c r="T32" i="19"/>
  <c r="Y32" i="16"/>
  <c r="T34" i="19"/>
  <c r="Y29" i="16"/>
  <c r="T31" i="19"/>
  <c r="Y31" i="16"/>
  <c r="T33" i="19"/>
  <c r="K35" i="19"/>
  <c r="K37" i="19" s="1"/>
  <c r="Q25" i="16"/>
  <c r="M27" i="19" s="1"/>
  <c r="Q26" i="16"/>
  <c r="M28" i="19" s="1"/>
  <c r="Q27" i="16"/>
  <c r="M29" i="19" s="1"/>
  <c r="Y16" i="16"/>
  <c r="X18" i="16"/>
  <c r="X20" i="16" s="1"/>
  <c r="Q24" i="16"/>
  <c r="M26" i="19" s="1"/>
  <c r="P33" i="16"/>
  <c r="P34" i="16" l="1"/>
  <c r="Z32" i="16"/>
  <c r="U34" i="19"/>
  <c r="Z31" i="16"/>
  <c r="U33" i="19"/>
  <c r="Z29" i="16"/>
  <c r="U31" i="19"/>
  <c r="Z30" i="16"/>
  <c r="U32" i="19"/>
  <c r="L35" i="19"/>
  <c r="L37" i="19" s="1"/>
  <c r="R26" i="16"/>
  <c r="N28" i="19" s="1"/>
  <c r="R27" i="16"/>
  <c r="N29" i="19" s="1"/>
  <c r="R25" i="16"/>
  <c r="N27" i="19" s="1"/>
  <c r="Z16" i="16"/>
  <c r="Y18" i="16"/>
  <c r="Y20" i="16" s="1"/>
  <c r="R24" i="16"/>
  <c r="N26" i="19" s="1"/>
  <c r="Q33" i="16"/>
  <c r="Q34" i="16" s="1"/>
  <c r="AA30" i="16" l="1"/>
  <c r="V32" i="19"/>
  <c r="AA31" i="16"/>
  <c r="V33" i="19"/>
  <c r="AA29" i="16"/>
  <c r="V31" i="19"/>
  <c r="AA32" i="16"/>
  <c r="V34" i="19"/>
  <c r="M35" i="19"/>
  <c r="M37" i="19" s="1"/>
  <c r="S27" i="16"/>
  <c r="O29" i="19" s="1"/>
  <c r="S25" i="16"/>
  <c r="O27" i="19" s="1"/>
  <c r="S26" i="16"/>
  <c r="O28" i="19" s="1"/>
  <c r="AA16" i="16"/>
  <c r="Z18" i="16"/>
  <c r="Z20" i="16" s="1"/>
  <c r="S24" i="16"/>
  <c r="O26" i="19" s="1"/>
  <c r="R33" i="16"/>
  <c r="R34" i="16" s="1"/>
  <c r="AB32" i="16" l="1"/>
  <c r="W34" i="19"/>
  <c r="AB31" i="16"/>
  <c r="W33" i="19"/>
  <c r="AB29" i="16"/>
  <c r="W31" i="19"/>
  <c r="AB30" i="16"/>
  <c r="W32" i="19"/>
  <c r="N35" i="19"/>
  <c r="N37" i="19" s="1"/>
  <c r="T25" i="16"/>
  <c r="P27" i="19" s="1"/>
  <c r="T26" i="16"/>
  <c r="P28" i="19" s="1"/>
  <c r="T27" i="16"/>
  <c r="P29" i="19" s="1"/>
  <c r="T24" i="16"/>
  <c r="P26" i="19" s="1"/>
  <c r="S33" i="16"/>
  <c r="S34" i="16" s="1"/>
  <c r="AB16" i="16"/>
  <c r="AA18" i="16"/>
  <c r="AA20" i="16" s="1"/>
  <c r="E32" i="15"/>
  <c r="E33" i="15"/>
  <c r="I32" i="15"/>
  <c r="I33" i="15"/>
  <c r="F32" i="15"/>
  <c r="F33" i="15"/>
  <c r="J32" i="15"/>
  <c r="J33" i="15"/>
  <c r="G32" i="15"/>
  <c r="G33" i="15"/>
  <c r="H32" i="15"/>
  <c r="H33" i="15"/>
  <c r="D32" i="15"/>
  <c r="D33" i="15"/>
  <c r="AC30" i="16" l="1"/>
  <c r="X32" i="19"/>
  <c r="AC31" i="16"/>
  <c r="X33" i="19"/>
  <c r="AC29" i="16"/>
  <c r="X31" i="19"/>
  <c r="AC32" i="16"/>
  <c r="X34" i="19"/>
  <c r="O35" i="19"/>
  <c r="O37" i="19" s="1"/>
  <c r="U26" i="16"/>
  <c r="Q28" i="19" s="1"/>
  <c r="U27" i="16"/>
  <c r="Q29" i="19" s="1"/>
  <c r="P35" i="19"/>
  <c r="P37" i="19" s="1"/>
  <c r="U25" i="16"/>
  <c r="Q27" i="19" s="1"/>
  <c r="AC16" i="16"/>
  <c r="AB18" i="16"/>
  <c r="AB20" i="16" s="1"/>
  <c r="U24" i="16"/>
  <c r="Q26" i="19" s="1"/>
  <c r="T33" i="16"/>
  <c r="T34" i="16" s="1"/>
  <c r="AD32" i="16" l="1"/>
  <c r="Y34" i="19"/>
  <c r="AD31" i="16"/>
  <c r="Y33" i="19"/>
  <c r="AD29" i="16"/>
  <c r="Y31" i="19"/>
  <c r="AD30" i="16"/>
  <c r="Y32" i="19"/>
  <c r="V27" i="16"/>
  <c r="R29" i="19" s="1"/>
  <c r="V25" i="16"/>
  <c r="R27" i="19" s="1"/>
  <c r="V26" i="16"/>
  <c r="R28" i="19" s="1"/>
  <c r="V24" i="16"/>
  <c r="R26" i="19" s="1"/>
  <c r="U33" i="16"/>
  <c r="U34" i="16" s="1"/>
  <c r="AD16" i="16"/>
  <c r="AC18" i="16"/>
  <c r="AC20" i="16" s="1"/>
  <c r="AE30" i="16" l="1"/>
  <c r="Z32" i="19"/>
  <c r="AE31" i="16"/>
  <c r="Z33" i="19"/>
  <c r="AE29" i="16"/>
  <c r="Z31" i="19"/>
  <c r="AE32" i="16"/>
  <c r="Z34" i="19"/>
  <c r="Q35" i="19"/>
  <c r="Q37" i="19" s="1"/>
  <c r="W25" i="16"/>
  <c r="S27" i="19" s="1"/>
  <c r="W26" i="16"/>
  <c r="S28" i="19" s="1"/>
  <c r="W27" i="16"/>
  <c r="S29" i="19" s="1"/>
  <c r="AE16" i="16"/>
  <c r="AD18" i="16"/>
  <c r="AD20" i="16" s="1"/>
  <c r="W24" i="16"/>
  <c r="S26" i="19" s="1"/>
  <c r="V33" i="16"/>
  <c r="V34" i="16" s="1"/>
  <c r="AF32" i="16" l="1"/>
  <c r="AA34" i="19"/>
  <c r="AF31" i="16"/>
  <c r="AA33" i="19"/>
  <c r="AF29" i="16"/>
  <c r="AA31" i="19"/>
  <c r="AF30" i="16"/>
  <c r="AA32" i="19"/>
  <c r="R35" i="19"/>
  <c r="R37" i="19" s="1"/>
  <c r="X26" i="16"/>
  <c r="T28" i="19" s="1"/>
  <c r="X27" i="16"/>
  <c r="T29" i="19" s="1"/>
  <c r="X25" i="16"/>
  <c r="T27" i="19" s="1"/>
  <c r="X24" i="16"/>
  <c r="T26" i="19" s="1"/>
  <c r="W33" i="16"/>
  <c r="W34" i="16" s="1"/>
  <c r="AF16" i="16"/>
  <c r="AE18" i="16"/>
  <c r="AE20" i="16" s="1"/>
  <c r="AG30" i="16" l="1"/>
  <c r="AB32" i="19"/>
  <c r="AG31" i="16"/>
  <c r="AB33" i="19"/>
  <c r="AG29" i="16"/>
  <c r="AB31" i="19"/>
  <c r="AG32" i="16"/>
  <c r="AB34" i="19"/>
  <c r="S35" i="19"/>
  <c r="S37" i="19" s="1"/>
  <c r="Y27" i="16"/>
  <c r="U29" i="19" s="1"/>
  <c r="Y25" i="16"/>
  <c r="U27" i="19" s="1"/>
  <c r="Y26" i="16"/>
  <c r="U28" i="19" s="1"/>
  <c r="AG16" i="16"/>
  <c r="AF18" i="16"/>
  <c r="AF20" i="16" s="1"/>
  <c r="Y24" i="16"/>
  <c r="U26" i="19" s="1"/>
  <c r="X33" i="16"/>
  <c r="X34" i="16" s="1"/>
  <c r="AH31" i="16" l="1"/>
  <c r="AC33" i="19"/>
  <c r="AH32" i="16"/>
  <c r="AC34" i="19"/>
  <c r="AH29" i="16"/>
  <c r="AC31" i="19"/>
  <c r="AH30" i="16"/>
  <c r="AC32" i="19"/>
  <c r="T35" i="19"/>
  <c r="T37" i="19" s="1"/>
  <c r="Z25" i="16"/>
  <c r="V27" i="19" s="1"/>
  <c r="Z26" i="16"/>
  <c r="V28" i="19" s="1"/>
  <c r="Z27" i="16"/>
  <c r="V29" i="19" s="1"/>
  <c r="Z24" i="16"/>
  <c r="V26" i="19" s="1"/>
  <c r="Y33" i="16"/>
  <c r="Y34" i="16" s="1"/>
  <c r="AH16" i="16"/>
  <c r="AG18" i="16"/>
  <c r="AG20" i="16" s="1"/>
  <c r="AI30" i="16" l="1"/>
  <c r="AD32" i="19"/>
  <c r="AI32" i="16"/>
  <c r="AD34" i="19"/>
  <c r="AI29" i="16"/>
  <c r="AD31" i="19"/>
  <c r="AI31" i="16"/>
  <c r="AD33" i="19"/>
  <c r="U35" i="19"/>
  <c r="U37" i="19" s="1"/>
  <c r="AA26" i="16"/>
  <c r="W28" i="19" s="1"/>
  <c r="AA27" i="16"/>
  <c r="W29" i="19" s="1"/>
  <c r="AA25" i="16"/>
  <c r="W27" i="19" s="1"/>
  <c r="AI16" i="16"/>
  <c r="AH18" i="16"/>
  <c r="AH20" i="16" s="1"/>
  <c r="AA24" i="16"/>
  <c r="W26" i="19" s="1"/>
  <c r="Z33" i="16"/>
  <c r="Z34" i="16" s="1"/>
  <c r="AJ31" i="16" l="1"/>
  <c r="AE33" i="19"/>
  <c r="AJ32" i="16"/>
  <c r="AE34" i="19"/>
  <c r="AJ29" i="16"/>
  <c r="AE31" i="19"/>
  <c r="AJ30" i="16"/>
  <c r="AE32" i="19"/>
  <c r="V35" i="19"/>
  <c r="V37" i="19" s="1"/>
  <c r="AB27" i="16"/>
  <c r="X29" i="19" s="1"/>
  <c r="AB25" i="16"/>
  <c r="X27" i="19" s="1"/>
  <c r="AB26" i="16"/>
  <c r="X28" i="19" s="1"/>
  <c r="AB24" i="16"/>
  <c r="X26" i="19" s="1"/>
  <c r="AA33" i="16"/>
  <c r="AA34" i="16" s="1"/>
  <c r="AJ16" i="16"/>
  <c r="AI18" i="16"/>
  <c r="AI20" i="16" s="1"/>
  <c r="AK30" i="16" l="1"/>
  <c r="AF32" i="19"/>
  <c r="AK32" i="16"/>
  <c r="AF34" i="19"/>
  <c r="AK29" i="16"/>
  <c r="AF31" i="19"/>
  <c r="AK31" i="16"/>
  <c r="AF33" i="19"/>
  <c r="W35" i="19"/>
  <c r="W37" i="19" s="1"/>
  <c r="AC25" i="16"/>
  <c r="Y27" i="19" s="1"/>
  <c r="AC26" i="16"/>
  <c r="Y28" i="19" s="1"/>
  <c r="AC27" i="16"/>
  <c r="Y29" i="19" s="1"/>
  <c r="AK16" i="16"/>
  <c r="AJ18" i="16"/>
  <c r="AJ20" i="16" s="1"/>
  <c r="AC24" i="16"/>
  <c r="Y26" i="19" s="1"/>
  <c r="AB33" i="16"/>
  <c r="AB34" i="16" s="1"/>
  <c r="AL31" i="16" l="1"/>
  <c r="AG33" i="19"/>
  <c r="AL32" i="16"/>
  <c r="AG34" i="19"/>
  <c r="AL29" i="16"/>
  <c r="AG31" i="19"/>
  <c r="AL30" i="16"/>
  <c r="AG32" i="19"/>
  <c r="X35" i="19"/>
  <c r="X37" i="19" s="1"/>
  <c r="AD26" i="16"/>
  <c r="Z28" i="19" s="1"/>
  <c r="AD27" i="16"/>
  <c r="Z29" i="19" s="1"/>
  <c r="AD25" i="16"/>
  <c r="Z27" i="19" s="1"/>
  <c r="AD24" i="16"/>
  <c r="Z26" i="19" s="1"/>
  <c r="AC33" i="16"/>
  <c r="AC34" i="16" s="1"/>
  <c r="AL16" i="16"/>
  <c r="AK18" i="16"/>
  <c r="AK20" i="16" s="1"/>
  <c r="AM32" i="16" l="1"/>
  <c r="AH34" i="19"/>
  <c r="AM30" i="16"/>
  <c r="AH32" i="19"/>
  <c r="AM29" i="16"/>
  <c r="AH31" i="19"/>
  <c r="AM31" i="16"/>
  <c r="AH33" i="19"/>
  <c r="Y35" i="19"/>
  <c r="Y37" i="19" s="1"/>
  <c r="AE27" i="16"/>
  <c r="AA29" i="19" s="1"/>
  <c r="AE25" i="16"/>
  <c r="AA27" i="19" s="1"/>
  <c r="AE26" i="16"/>
  <c r="AA28" i="19" s="1"/>
  <c r="AE24" i="16"/>
  <c r="AA26" i="19" s="1"/>
  <c r="AD33" i="16"/>
  <c r="AD34" i="16" s="1"/>
  <c r="AM16" i="16"/>
  <c r="AL18" i="16"/>
  <c r="AL20" i="16" s="1"/>
  <c r="AN31" i="16" l="1"/>
  <c r="AI33" i="19"/>
  <c r="AN30" i="16"/>
  <c r="AI32" i="19"/>
  <c r="AN29" i="16"/>
  <c r="AI31" i="19"/>
  <c r="AN32" i="16"/>
  <c r="AI34" i="19"/>
  <c r="Z35" i="19"/>
  <c r="Z37" i="19" s="1"/>
  <c r="AF25" i="16"/>
  <c r="AB27" i="19" s="1"/>
  <c r="AF26" i="16"/>
  <c r="AB28" i="19" s="1"/>
  <c r="AF27" i="16"/>
  <c r="AB29" i="19" s="1"/>
  <c r="AN16" i="16"/>
  <c r="AM18" i="16"/>
  <c r="AM20" i="16" s="1"/>
  <c r="AF24" i="16"/>
  <c r="AB26" i="19" s="1"/>
  <c r="AE33" i="16"/>
  <c r="AE34" i="16" s="1"/>
  <c r="AO32" i="16" l="1"/>
  <c r="AJ34" i="19"/>
  <c r="AO30" i="16"/>
  <c r="AJ32" i="19"/>
  <c r="AO29" i="16"/>
  <c r="AJ31" i="19"/>
  <c r="AO31" i="16"/>
  <c r="AJ33" i="19"/>
  <c r="AA35" i="19"/>
  <c r="AA37" i="19" s="1"/>
  <c r="AG26" i="16"/>
  <c r="AC28" i="19" s="1"/>
  <c r="AG27" i="16"/>
  <c r="AC29" i="19" s="1"/>
  <c r="AG25" i="16"/>
  <c r="AC27" i="19" s="1"/>
  <c r="AG24" i="16"/>
  <c r="AC26" i="19" s="1"/>
  <c r="AF33" i="16"/>
  <c r="AF34" i="16" s="1"/>
  <c r="AO16" i="16"/>
  <c r="AN18" i="16"/>
  <c r="AN20" i="16" s="1"/>
  <c r="AP30" i="16" l="1"/>
  <c r="AK32" i="19"/>
  <c r="AP31" i="16"/>
  <c r="AK33" i="19"/>
  <c r="AP29" i="16"/>
  <c r="AK31" i="19"/>
  <c r="AP32" i="16"/>
  <c r="AK34" i="19"/>
  <c r="AB35" i="19"/>
  <c r="AB37" i="19" s="1"/>
  <c r="AH27" i="16"/>
  <c r="AD29" i="19" s="1"/>
  <c r="AH25" i="16"/>
  <c r="AD27" i="19" s="1"/>
  <c r="AH26" i="16"/>
  <c r="AD28" i="19" s="1"/>
  <c r="AP16" i="16"/>
  <c r="AO18" i="16"/>
  <c r="AO20" i="16" s="1"/>
  <c r="AH24" i="16"/>
  <c r="AD26" i="19" s="1"/>
  <c r="AG33" i="16"/>
  <c r="AG34" i="16" s="1"/>
  <c r="AQ32" i="16" l="1"/>
  <c r="AL34" i="19"/>
  <c r="AQ31" i="16"/>
  <c r="AL33" i="19"/>
  <c r="AQ29" i="16"/>
  <c r="AL31" i="19"/>
  <c r="AQ30" i="16"/>
  <c r="AL32" i="19"/>
  <c r="AC35" i="19"/>
  <c r="AC37" i="19" s="1"/>
  <c r="AI25" i="16"/>
  <c r="AE27" i="19" s="1"/>
  <c r="AI26" i="16"/>
  <c r="AE28" i="19" s="1"/>
  <c r="AI27" i="16"/>
  <c r="AE29" i="19" s="1"/>
  <c r="AI24" i="16"/>
  <c r="AE26" i="19" s="1"/>
  <c r="AH33" i="16"/>
  <c r="AH34" i="16" s="1"/>
  <c r="AQ16" i="16"/>
  <c r="AP18" i="16"/>
  <c r="AP20" i="16" s="1"/>
  <c r="AR30" i="16" l="1"/>
  <c r="AM32" i="19"/>
  <c r="AR31" i="16"/>
  <c r="AM33" i="19"/>
  <c r="AR29" i="16"/>
  <c r="AM31" i="19"/>
  <c r="AR32" i="16"/>
  <c r="AM34" i="19"/>
  <c r="AD35" i="19"/>
  <c r="AD37" i="19" s="1"/>
  <c r="AJ26" i="16"/>
  <c r="AF28" i="19" s="1"/>
  <c r="AJ27" i="16"/>
  <c r="AF29" i="19" s="1"/>
  <c r="AJ25" i="16"/>
  <c r="AF27" i="19" s="1"/>
  <c r="AR16" i="16"/>
  <c r="AQ18" i="16"/>
  <c r="AQ20" i="16" s="1"/>
  <c r="AJ24" i="16"/>
  <c r="AF26" i="19" s="1"/>
  <c r="AI33" i="16"/>
  <c r="AI34" i="16" s="1"/>
  <c r="AS32" i="16" l="1"/>
  <c r="AN34" i="19"/>
  <c r="AS31" i="16"/>
  <c r="AN33" i="19"/>
  <c r="AS29" i="16"/>
  <c r="AN31" i="19"/>
  <c r="AS30" i="16"/>
  <c r="AN32" i="19"/>
  <c r="AE35" i="19"/>
  <c r="AE37" i="19" s="1"/>
  <c r="AK27" i="16"/>
  <c r="AG29" i="19" s="1"/>
  <c r="AK25" i="16"/>
  <c r="AG27" i="19" s="1"/>
  <c r="AK26" i="16"/>
  <c r="AG28" i="19" s="1"/>
  <c r="AK24" i="16"/>
  <c r="AG26" i="19" s="1"/>
  <c r="AJ33" i="16"/>
  <c r="AJ34" i="16" s="1"/>
  <c r="AS16" i="16"/>
  <c r="AR18" i="16"/>
  <c r="AR20" i="16" s="1"/>
  <c r="AT30" i="16" l="1"/>
  <c r="AO32" i="19"/>
  <c r="AT31" i="16"/>
  <c r="AO33" i="19"/>
  <c r="AT29" i="16"/>
  <c r="AO31" i="19"/>
  <c r="AT32" i="16"/>
  <c r="AO34" i="19"/>
  <c r="AF35" i="19"/>
  <c r="AF37" i="19" s="1"/>
  <c r="AL25" i="16"/>
  <c r="AH27" i="19" s="1"/>
  <c r="AL26" i="16"/>
  <c r="AH28" i="19" s="1"/>
  <c r="AL27" i="16"/>
  <c r="AH29" i="19" s="1"/>
  <c r="AT16" i="16"/>
  <c r="AS18" i="16"/>
  <c r="AS20" i="16" s="1"/>
  <c r="AL24" i="16"/>
  <c r="AH26" i="19" s="1"/>
  <c r="AK33" i="16"/>
  <c r="AK34" i="16" s="1"/>
  <c r="AU32" i="16" l="1"/>
  <c r="AP34" i="19"/>
  <c r="AU31" i="16"/>
  <c r="AP33" i="19"/>
  <c r="AU29" i="16"/>
  <c r="AP31" i="19"/>
  <c r="AU30" i="16"/>
  <c r="AP32" i="19"/>
  <c r="AG35" i="19"/>
  <c r="AG37" i="19" s="1"/>
  <c r="AM26" i="16"/>
  <c r="AI28" i="19" s="1"/>
  <c r="AM27" i="16"/>
  <c r="AI29" i="19" s="1"/>
  <c r="AM25" i="16"/>
  <c r="AI27" i="19" s="1"/>
  <c r="AM24" i="16"/>
  <c r="AI26" i="19" s="1"/>
  <c r="AL33" i="16"/>
  <c r="AL34" i="16" s="1"/>
  <c r="AU16" i="16"/>
  <c r="AT18" i="16"/>
  <c r="AT20" i="16" s="1"/>
  <c r="AV30" i="16" l="1"/>
  <c r="AQ32" i="19"/>
  <c r="AV31" i="16"/>
  <c r="AQ33" i="19"/>
  <c r="AV29" i="16"/>
  <c r="AQ31" i="19"/>
  <c r="AV32" i="16"/>
  <c r="AQ34" i="19"/>
  <c r="AH35" i="19"/>
  <c r="AH37" i="19" s="1"/>
  <c r="AN27" i="16"/>
  <c r="AJ29" i="19" s="1"/>
  <c r="AN25" i="16"/>
  <c r="AJ27" i="19" s="1"/>
  <c r="AN26" i="16"/>
  <c r="AJ28" i="19" s="1"/>
  <c r="AV16" i="16"/>
  <c r="AU18" i="16"/>
  <c r="AU20" i="16" s="1"/>
  <c r="AN24" i="16"/>
  <c r="AJ26" i="19" s="1"/>
  <c r="AM33" i="16"/>
  <c r="AM34" i="16" s="1"/>
  <c r="AW32" i="16" l="1"/>
  <c r="AR34" i="19"/>
  <c r="AW31" i="16"/>
  <c r="AR33" i="19"/>
  <c r="AW29" i="16"/>
  <c r="AR31" i="19"/>
  <c r="AW30" i="16"/>
  <c r="AR32" i="19"/>
  <c r="AI35" i="19"/>
  <c r="AI37" i="19" s="1"/>
  <c r="AO25" i="16"/>
  <c r="AK27" i="19" s="1"/>
  <c r="AO26" i="16"/>
  <c r="AK28" i="19" s="1"/>
  <c r="AO27" i="16"/>
  <c r="AK29" i="19" s="1"/>
  <c r="AO24" i="16"/>
  <c r="AK26" i="19" s="1"/>
  <c r="AN33" i="16"/>
  <c r="AN34" i="16" s="1"/>
  <c r="AW16" i="16"/>
  <c r="AV18" i="16"/>
  <c r="AV20" i="16" s="1"/>
  <c r="AX31" i="16" l="1"/>
  <c r="AS33" i="19"/>
  <c r="AX30" i="16"/>
  <c r="AS32" i="19"/>
  <c r="AX29" i="16"/>
  <c r="AS31" i="19"/>
  <c r="AX32" i="16"/>
  <c r="AS34" i="19"/>
  <c r="AJ35" i="19"/>
  <c r="AJ37" i="19" s="1"/>
  <c r="AP26" i="16"/>
  <c r="AL28" i="19" s="1"/>
  <c r="AP27" i="16"/>
  <c r="AL29" i="19" s="1"/>
  <c r="AP25" i="16"/>
  <c r="AL27" i="19" s="1"/>
  <c r="AX16" i="16"/>
  <c r="AW18" i="16"/>
  <c r="AW20" i="16" s="1"/>
  <c r="AP24" i="16"/>
  <c r="AL26" i="19" s="1"/>
  <c r="AO33" i="16"/>
  <c r="AO34" i="16" s="1"/>
  <c r="AY32" i="16" l="1"/>
  <c r="AT34" i="19"/>
  <c r="AY30" i="16"/>
  <c r="AT32" i="19"/>
  <c r="AY29" i="16"/>
  <c r="AT31" i="19"/>
  <c r="AY31" i="16"/>
  <c r="AT33" i="19"/>
  <c r="AK35" i="19"/>
  <c r="AK37" i="19" s="1"/>
  <c r="AQ27" i="16"/>
  <c r="AM29" i="19" s="1"/>
  <c r="AQ25" i="16"/>
  <c r="AM27" i="19" s="1"/>
  <c r="AQ26" i="16"/>
  <c r="AM28" i="19" s="1"/>
  <c r="AQ24" i="16"/>
  <c r="AM26" i="19" s="1"/>
  <c r="AP33" i="16"/>
  <c r="AP34" i="16" s="1"/>
  <c r="AY16" i="16"/>
  <c r="AX18" i="16"/>
  <c r="AX20" i="16" s="1"/>
  <c r="AZ31" i="16" l="1"/>
  <c r="AU33" i="19"/>
  <c r="AZ30" i="16"/>
  <c r="AU32" i="19"/>
  <c r="AZ29" i="16"/>
  <c r="AU31" i="19"/>
  <c r="AZ32" i="16"/>
  <c r="AU34" i="19"/>
  <c r="AL35" i="19"/>
  <c r="AL37" i="19" s="1"/>
  <c r="AR25" i="16"/>
  <c r="AN27" i="19" s="1"/>
  <c r="AR26" i="16"/>
  <c r="AN28" i="19" s="1"/>
  <c r="AR27" i="16"/>
  <c r="AN29" i="19" s="1"/>
  <c r="AZ16" i="16"/>
  <c r="AY18" i="16"/>
  <c r="AY20" i="16" s="1"/>
  <c r="AR24" i="16"/>
  <c r="AN26" i="19" s="1"/>
  <c r="AQ33" i="16"/>
  <c r="AQ34" i="16" s="1"/>
  <c r="BA32" i="16" l="1"/>
  <c r="AV34" i="19"/>
  <c r="BA30" i="16"/>
  <c r="AV32" i="19"/>
  <c r="BA29" i="16"/>
  <c r="AV31" i="19"/>
  <c r="BA31" i="16"/>
  <c r="AV33" i="19"/>
  <c r="AM35" i="19"/>
  <c r="AM37" i="19" s="1"/>
  <c r="AS26" i="16"/>
  <c r="AO28" i="19" s="1"/>
  <c r="AS27" i="16"/>
  <c r="AO29" i="19" s="1"/>
  <c r="AS25" i="16"/>
  <c r="AO27" i="19" s="1"/>
  <c r="BA16" i="16"/>
  <c r="AZ18" i="16"/>
  <c r="AZ20" i="16" s="1"/>
  <c r="AS24" i="16"/>
  <c r="AO26" i="19" s="1"/>
  <c r="AR33" i="16"/>
  <c r="AR34" i="16" s="1"/>
  <c r="BB31" i="16" l="1"/>
  <c r="AW33" i="19"/>
  <c r="BB30" i="16"/>
  <c r="AW32" i="19"/>
  <c r="BB29" i="16"/>
  <c r="AW31" i="19"/>
  <c r="BB32" i="16"/>
  <c r="AW34" i="19"/>
  <c r="AN35" i="19"/>
  <c r="AN37" i="19" s="1"/>
  <c r="AT27" i="16"/>
  <c r="AP29" i="19" s="1"/>
  <c r="AT25" i="16"/>
  <c r="AP27" i="19" s="1"/>
  <c r="AT26" i="16"/>
  <c r="AP28" i="19" s="1"/>
  <c r="AT24" i="16"/>
  <c r="AP26" i="19" s="1"/>
  <c r="AS33" i="16"/>
  <c r="AS34" i="16" s="1"/>
  <c r="BB16" i="16"/>
  <c r="BA18" i="16"/>
  <c r="BA20" i="16" s="1"/>
  <c r="BC32" i="16" l="1"/>
  <c r="AX34" i="19"/>
  <c r="BC30" i="16"/>
  <c r="AX32" i="19"/>
  <c r="BC29" i="16"/>
  <c r="AX31" i="19"/>
  <c r="BC31" i="16"/>
  <c r="AX33" i="19"/>
  <c r="AO35" i="19"/>
  <c r="AO37" i="19" s="1"/>
  <c r="AU25" i="16"/>
  <c r="AQ27" i="19" s="1"/>
  <c r="AU26" i="16"/>
  <c r="AQ28" i="19" s="1"/>
  <c r="AU27" i="16"/>
  <c r="AQ29" i="19" s="1"/>
  <c r="BC16" i="16"/>
  <c r="BB18" i="16"/>
  <c r="BB20" i="16" s="1"/>
  <c r="AU24" i="16"/>
  <c r="AQ26" i="19" s="1"/>
  <c r="AT33" i="16"/>
  <c r="AT34" i="16" s="1"/>
  <c r="BD31" i="16" l="1"/>
  <c r="AY33" i="19"/>
  <c r="BD30" i="16"/>
  <c r="AY32" i="19"/>
  <c r="BD29" i="16"/>
  <c r="AY31" i="19"/>
  <c r="BD32" i="16"/>
  <c r="AY34" i="19"/>
  <c r="AP35" i="19"/>
  <c r="AP37" i="19" s="1"/>
  <c r="AV26" i="16"/>
  <c r="AR28" i="19" s="1"/>
  <c r="AV27" i="16"/>
  <c r="AR29" i="19" s="1"/>
  <c r="AV25" i="16"/>
  <c r="AR27" i="19" s="1"/>
  <c r="AV24" i="16"/>
  <c r="AR26" i="19" s="1"/>
  <c r="AU33" i="16"/>
  <c r="AU34" i="16" s="1"/>
  <c r="BD16" i="16"/>
  <c r="BC18" i="16"/>
  <c r="BC20" i="16" s="1"/>
  <c r="BE32" i="16" l="1"/>
  <c r="AZ34" i="19"/>
  <c r="BE30" i="16"/>
  <c r="AZ32" i="19"/>
  <c r="BE29" i="16"/>
  <c r="AZ31" i="19"/>
  <c r="BE31" i="16"/>
  <c r="AZ33" i="19"/>
  <c r="AQ35" i="19"/>
  <c r="AQ37" i="19" s="1"/>
  <c r="AW27" i="16"/>
  <c r="AS29" i="19" s="1"/>
  <c r="AW25" i="16"/>
  <c r="AS27" i="19" s="1"/>
  <c r="AW26" i="16"/>
  <c r="AS28" i="19" s="1"/>
  <c r="BE16" i="16"/>
  <c r="BD18" i="16"/>
  <c r="BD20" i="16" s="1"/>
  <c r="AW24" i="16"/>
  <c r="AS26" i="19" s="1"/>
  <c r="AV33" i="16"/>
  <c r="AV34" i="16" s="1"/>
  <c r="BA33" i="19" l="1"/>
  <c r="BA32" i="19"/>
  <c r="BE18" i="16"/>
  <c r="BE20" i="16" s="1"/>
  <c r="BA31" i="19"/>
  <c r="BA34" i="19"/>
  <c r="AR35" i="19"/>
  <c r="AR37" i="19" s="1"/>
  <c r="AX25" i="16"/>
  <c r="AT27" i="19" s="1"/>
  <c r="AX26" i="16"/>
  <c r="AT28" i="19" s="1"/>
  <c r="AX27" i="16"/>
  <c r="AT29" i="19" s="1"/>
  <c r="AX24" i="16"/>
  <c r="AT26" i="19" s="1"/>
  <c r="AW33" i="16"/>
  <c r="AW34" i="16" s="1"/>
  <c r="AS35" i="19" l="1"/>
  <c r="AS37" i="19" s="1"/>
  <c r="AY26" i="16"/>
  <c r="AU28" i="19" s="1"/>
  <c r="AY27" i="16"/>
  <c r="AU29" i="19" s="1"/>
  <c r="AY25" i="16"/>
  <c r="AU27" i="19" s="1"/>
  <c r="AY24" i="16"/>
  <c r="AU26" i="19" s="1"/>
  <c r="AX33" i="16"/>
  <c r="AX34" i="16" s="1"/>
  <c r="AT35" i="19" l="1"/>
  <c r="AT37" i="19" s="1"/>
  <c r="AZ27" i="16"/>
  <c r="AV29" i="19" s="1"/>
  <c r="AZ25" i="16"/>
  <c r="AV27" i="19" s="1"/>
  <c r="AZ26" i="16"/>
  <c r="AV28" i="19" s="1"/>
  <c r="AZ24" i="16"/>
  <c r="AV26" i="19" s="1"/>
  <c r="AY33" i="16"/>
  <c r="AY34" i="16" s="1"/>
  <c r="AU35" i="19" l="1"/>
  <c r="AU37" i="19" s="1"/>
  <c r="BA25" i="16"/>
  <c r="AW27" i="19" s="1"/>
  <c r="BA26" i="16"/>
  <c r="AW28" i="19" s="1"/>
  <c r="BA27" i="16"/>
  <c r="AW29" i="19" s="1"/>
  <c r="BA24" i="16"/>
  <c r="AW26" i="19" s="1"/>
  <c r="AZ33" i="16"/>
  <c r="AZ34" i="16" s="1"/>
  <c r="AV35" i="19" l="1"/>
  <c r="AV37" i="19" s="1"/>
  <c r="BB26" i="16"/>
  <c r="AX28" i="19" s="1"/>
  <c r="BB27" i="16"/>
  <c r="AX29" i="19" s="1"/>
  <c r="BB25" i="16"/>
  <c r="AX27" i="19" s="1"/>
  <c r="BB24" i="16"/>
  <c r="AX26" i="19" s="1"/>
  <c r="BA33" i="16"/>
  <c r="BA34" i="16" s="1"/>
  <c r="AW35" i="19" l="1"/>
  <c r="AW37" i="19" s="1"/>
  <c r="BC27" i="16"/>
  <c r="AY29" i="19" s="1"/>
  <c r="BC25" i="16"/>
  <c r="AY27" i="19" s="1"/>
  <c r="BC26" i="16"/>
  <c r="AY28" i="19" s="1"/>
  <c r="BC24" i="16"/>
  <c r="AY26" i="19" s="1"/>
  <c r="BB33" i="16"/>
  <c r="BB34" i="16" s="1"/>
  <c r="AX35" i="19" l="1"/>
  <c r="AX37" i="19" s="1"/>
  <c r="BD25" i="16"/>
  <c r="AZ27" i="19" s="1"/>
  <c r="BD26" i="16"/>
  <c r="AZ28" i="19" s="1"/>
  <c r="BD27" i="16"/>
  <c r="AZ29" i="19" s="1"/>
  <c r="BD24" i="16"/>
  <c r="AZ26" i="19" s="1"/>
  <c r="BC33" i="16"/>
  <c r="BC34" i="16" s="1"/>
  <c r="AY35" i="19" l="1"/>
  <c r="AY37" i="19" s="1"/>
  <c r="BE26" i="16"/>
  <c r="BE27" i="16"/>
  <c r="BE25" i="16"/>
  <c r="BE24" i="16"/>
  <c r="BD33" i="16"/>
  <c r="BD34" i="16" s="1"/>
  <c r="BA28" i="19" l="1"/>
  <c r="BA27" i="19"/>
  <c r="BA29" i="19"/>
  <c r="BA26" i="19"/>
  <c r="AZ35" i="19"/>
  <c r="AZ37" i="19" s="1"/>
  <c r="BE33" i="16"/>
  <c r="BE34" i="16" l="1"/>
  <c r="BA35" i="19"/>
  <c r="BA37" i="19" s="1"/>
  <c r="D40" i="19" l="1"/>
  <c r="F40" i="19" s="1"/>
  <c r="D43" i="19"/>
  <c r="F43" i="19" s="1"/>
  <c r="D42" i="19"/>
  <c r="F42" i="19" s="1"/>
  <c r="D41" i="19"/>
  <c r="F41" i="19" s="1"/>
  <c r="C36" i="19"/>
  <c r="C40" i="16"/>
  <c r="C39" i="16"/>
  <c r="C38" i="16"/>
  <c r="C37" i="16"/>
  <c r="G42" i="19" l="1"/>
  <c r="G40" i="19"/>
  <c r="G41" i="19"/>
  <c r="G43" i="19"/>
  <c r="E40" i="19"/>
  <c r="E41" i="19"/>
  <c r="E42" i="19"/>
  <c r="E43" i="19"/>
  <c r="C47" i="19"/>
  <c r="C49" i="19"/>
  <c r="C50" i="19"/>
  <c r="C48" i="19"/>
</calcChain>
</file>

<file path=xl/sharedStrings.xml><?xml version="1.0" encoding="utf-8"?>
<sst xmlns="http://schemas.openxmlformats.org/spreadsheetml/2006/main" count="210" uniqueCount="97">
  <si>
    <t>Madagascar</t>
  </si>
  <si>
    <t>Comoros</t>
  </si>
  <si>
    <t>Seychelles</t>
  </si>
  <si>
    <t>Mauritius</t>
  </si>
  <si>
    <t>SWIO Island
State or
Territory</t>
  </si>
  <si>
    <t>Exceedance Probability:</t>
  </si>
  <si>
    <t>AAL</t>
  </si>
  <si>
    <t xml:space="preserve">Mean Return Period (years): </t>
  </si>
  <si>
    <t xml:space="preserve">Comoros </t>
  </si>
  <si>
    <t xml:space="preserve">Madagascar </t>
  </si>
  <si>
    <t xml:space="preserve">Mauritius </t>
  </si>
  <si>
    <t xml:space="preserve">Seychelles </t>
  </si>
  <si>
    <t xml:space="preserve">Zanzibar </t>
  </si>
  <si>
    <t xml:space="preserve">Emergency Loss (M USD) </t>
  </si>
  <si>
    <t xml:space="preserve">Ground-up Loss (M USD) </t>
  </si>
  <si>
    <t xml:space="preserve">Damages costs </t>
  </si>
  <si>
    <t>Total (USD Million)</t>
  </si>
  <si>
    <t>Average Annual Loss (AAL). All Modeled Perils (AP) by SWIO Island State</t>
  </si>
  <si>
    <t>Benefit from EWS</t>
  </si>
  <si>
    <t xml:space="preserve">Discounting rate </t>
  </si>
  <si>
    <t xml:space="preserve">Emergency Loss (USD) </t>
  </si>
  <si>
    <t xml:space="preserve">Ground-up Loss (USD) </t>
  </si>
  <si>
    <t>Zanzibar excluded</t>
  </si>
  <si>
    <r>
      <t xml:space="preserve">Ground-up Loss </t>
    </r>
    <r>
      <rPr>
        <b/>
        <sz val="11"/>
        <color rgb="FFFF0000"/>
        <rFont val="Calibri"/>
        <family val="2"/>
        <scheme val="minor"/>
      </rPr>
      <t xml:space="preserve">(M USD) </t>
    </r>
  </si>
  <si>
    <t xml:space="preserve">Taux d'actualisation </t>
  </si>
  <si>
    <t>TOTAL</t>
  </si>
  <si>
    <t>AFD</t>
  </si>
  <si>
    <t>EU</t>
  </si>
  <si>
    <t>GCF</t>
  </si>
  <si>
    <t>GVNT</t>
  </si>
  <si>
    <t xml:space="preserve">Coûts d'investissement et mise en œuvre du projet </t>
  </si>
  <si>
    <t>Système d'observation</t>
  </si>
  <si>
    <t>Système d'information</t>
  </si>
  <si>
    <t>Renforcement instit &amp; training</t>
  </si>
  <si>
    <t>Gestion de projet</t>
  </si>
  <si>
    <t>Services agro</t>
  </si>
  <si>
    <t>Autres services</t>
  </si>
  <si>
    <t xml:space="preserve">sous-total </t>
  </si>
  <si>
    <t>Coûts de fonctionnement (Opération &amp; Maintenance)</t>
  </si>
  <si>
    <t>Opération &amp; Maintenance</t>
  </si>
  <si>
    <t>Hypothèse</t>
  </si>
  <si>
    <t>Augmentation des rendements agricoles</t>
  </si>
  <si>
    <t>Bénéficiaires des services agroclimatiques</t>
  </si>
  <si>
    <t>Producer Price index</t>
  </si>
  <si>
    <t>Current value 1000 Int. $</t>
  </si>
  <si>
    <t>Production agricole bénéficiant des services climatiques (Hyp : 5 % de la production totale)</t>
  </si>
  <si>
    <t>Bénéfices attibuables aux services climatiques</t>
  </si>
  <si>
    <t>Valeur de la production sans Hydromet (USD)</t>
  </si>
  <si>
    <t>Valeur de la production avec Hydromet (USD)</t>
  </si>
  <si>
    <t>Bénéfice annuel moyen  (USD)</t>
  </si>
  <si>
    <t>Bénéfices attribuables aux services climatiques</t>
  </si>
  <si>
    <t>Valeur de la production avec Hydromet  (USD)</t>
  </si>
  <si>
    <t>Bénéfice annuel moyen   (USD)</t>
  </si>
  <si>
    <t>Comores</t>
  </si>
  <si>
    <t>Maurice</t>
  </si>
  <si>
    <t>Coûts évités associés au SAP (USD)</t>
  </si>
  <si>
    <t>Services Agro- climatiques (USD)</t>
  </si>
  <si>
    <t>Total des coûts</t>
  </si>
  <si>
    <t xml:space="preserve">Total des bénéfices </t>
  </si>
  <si>
    <t>Coûts du programme Hydromet (MUSD)</t>
  </si>
  <si>
    <t>Bénéfices du programme Hydromet  (MUSD)</t>
  </si>
  <si>
    <t>Production agricole bénéficiant des services climatiques (Hyp : 10 % de la production totale)</t>
  </si>
  <si>
    <t>VAN reference (M.USD)</t>
  </si>
  <si>
    <t xml:space="preserve">CB Ratio </t>
  </si>
  <si>
    <t>Total discounted costs (4%)</t>
  </si>
  <si>
    <t>(USD Million)</t>
  </si>
  <si>
    <t>Solde (MUSD)</t>
  </si>
  <si>
    <t xml:space="preserve">Discounted Costs </t>
  </si>
  <si>
    <t>Discounted benefits</t>
  </si>
  <si>
    <t>Solde (Bénéfices - Coûts)</t>
  </si>
  <si>
    <t>test de Sensibilité - Variation des bénéfices</t>
  </si>
  <si>
    <t>ERR</t>
  </si>
  <si>
    <t>Variation des bénéfices</t>
  </si>
  <si>
    <t>Français</t>
  </si>
  <si>
    <t>Version enregistrée le</t>
  </si>
  <si>
    <t>A</t>
  </si>
  <si>
    <t>Modèle développé par</t>
  </si>
  <si>
    <t>Langue</t>
  </si>
  <si>
    <t>Les données techniques, économiques, juridiques ou financières du projet ne sont pas encore définitivement fixées et certains paramètres sont susceptibles d’évoluer pendant sa réalisation.</t>
  </si>
  <si>
    <t>MODELE D'ANALYSE COUTS-BENEFICES DU PROGRAMME HYDROMET</t>
  </si>
  <si>
    <t xml:space="preserve">Ce modèle comprend : </t>
  </si>
  <si>
    <t xml:space="preserve">Analyse coûts-bénéfices du programme Hydromet </t>
  </si>
  <si>
    <t xml:space="preserve">Evaluation des bénéfices associés aux coûts évités du Servcie d'Alerte Précoce - SAP </t>
  </si>
  <si>
    <t>Evaluation des bénéfices dans les secteurs agricoles par accroissment de la productivité</t>
  </si>
  <si>
    <t>Analyse de la sensibilité des résultats aux variations des bénéfices</t>
  </si>
  <si>
    <t>RESUME</t>
  </si>
  <si>
    <t>Valeur modifiable</t>
  </si>
  <si>
    <t>Valeurs modifiables</t>
  </si>
  <si>
    <t>Total discounted benefits (4%)</t>
  </si>
  <si>
    <t>Solde : Benefices - coûts</t>
  </si>
  <si>
    <t>Moyenne</t>
  </si>
  <si>
    <t>Ce modèle est la propriété de IREEDD. Il est réalisé sur la base exclusive des informations transmises à IREEDD.</t>
  </si>
  <si>
    <t>Valeur de la production agricole (FAO)</t>
  </si>
  <si>
    <t>Bénéfices agricoles</t>
  </si>
  <si>
    <t>VAN (M.USD) avce le finacnement GCF</t>
  </si>
  <si>
    <t>V2</t>
  </si>
  <si>
    <t>Opération &amp; Maintenance (Y compris ressources Humaines)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</si>
</sst>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d/m/yy\ h:mm;@"/>
    <numFmt numFmtId="168" formatCode="h:mm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MyriadPro-Semibold"/>
    </font>
    <font>
      <sz val="11"/>
      <name val="Calibri"/>
      <family val="2"/>
      <scheme val="minor"/>
    </font>
    <font>
      <b/>
      <sz val="10"/>
      <color rgb="FF231F20"/>
      <name val="MyriadPro-Semibold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rgb="FF0000CC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9"/>
      <color rgb="FFFFFF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A4C0"/>
        <bgColor indexed="64"/>
      </patternFill>
    </fill>
    <fill>
      <patternFill patternType="solid">
        <fgColor rgb="FFBFF5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23" fillId="0" borderId="0" applyNumberFormat="0" applyFill="0" applyBorder="0" applyAlignment="0" applyProtection="0"/>
  </cellStyleXfs>
  <cellXfs count="230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3" fillId="5" borderId="7" xfId="0" applyFont="1" applyFill="1" applyBorder="1"/>
    <xf numFmtId="2" fontId="3" fillId="5" borderId="0" xfId="0" applyNumberFormat="1" applyFont="1" applyFill="1"/>
    <xf numFmtId="0" fontId="3" fillId="5" borderId="0" xfId="0" applyFont="1" applyFill="1"/>
    <xf numFmtId="0" fontId="3" fillId="6" borderId="0" xfId="0" applyFont="1" applyFill="1"/>
    <xf numFmtId="0" fontId="6" fillId="0" borderId="0" xfId="0" applyFont="1"/>
    <xf numFmtId="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center"/>
    </xf>
    <xf numFmtId="165" fontId="0" fillId="3" borderId="1" xfId="2" applyNumberFormat="1" applyFont="1" applyFill="1" applyBorder="1"/>
    <xf numFmtId="165" fontId="0" fillId="4" borderId="1" xfId="2" applyNumberFormat="1" applyFont="1" applyFill="1" applyBorder="1"/>
    <xf numFmtId="165" fontId="3" fillId="5" borderId="0" xfId="2" applyNumberFormat="1" applyFont="1" applyFill="1"/>
    <xf numFmtId="165" fontId="0" fillId="0" borderId="0" xfId="0" applyNumberFormat="1"/>
    <xf numFmtId="0" fontId="7" fillId="3" borderId="1" xfId="0" applyFont="1" applyFill="1" applyBorder="1"/>
    <xf numFmtId="2" fontId="7" fillId="3" borderId="1" xfId="0" applyNumberFormat="1" applyFont="1" applyFill="1" applyBorder="1"/>
    <xf numFmtId="0" fontId="7" fillId="4" borderId="1" xfId="0" applyFont="1" applyFill="1" applyBorder="1"/>
    <xf numFmtId="2" fontId="7" fillId="4" borderId="1" xfId="0" applyNumberFormat="1" applyFont="1" applyFill="1" applyBorder="1"/>
    <xf numFmtId="0" fontId="1" fillId="2" borderId="0" xfId="0" applyFont="1" applyFill="1"/>
    <xf numFmtId="0" fontId="3" fillId="5" borderId="15" xfId="0" applyFont="1" applyFill="1" applyBorder="1" applyAlignment="1">
      <alignment horizontal="center" vertical="center" wrapText="1"/>
    </xf>
    <xf numFmtId="0" fontId="8" fillId="6" borderId="0" xfId="0" applyFont="1" applyFill="1"/>
    <xf numFmtId="3" fontId="0" fillId="0" borderId="0" xfId="0" applyNumberFormat="1"/>
    <xf numFmtId="3" fontId="10" fillId="9" borderId="15" xfId="0" applyNumberFormat="1" applyFont="1" applyFill="1" applyBorder="1"/>
    <xf numFmtId="3" fontId="11" fillId="0" borderId="0" xfId="0" applyNumberFormat="1" applyFont="1"/>
    <xf numFmtId="0" fontId="8" fillId="5" borderId="0" xfId="0" applyFont="1" applyFill="1"/>
    <xf numFmtId="0" fontId="8" fillId="11" borderId="9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 wrapText="1"/>
    </xf>
    <xf numFmtId="165" fontId="0" fillId="0" borderId="8" xfId="2" applyNumberFormat="1" applyFont="1" applyBorder="1"/>
    <xf numFmtId="0" fontId="0" fillId="0" borderId="9" xfId="0" applyBorder="1"/>
    <xf numFmtId="165" fontId="0" fillId="0" borderId="5" xfId="0" applyNumberFormat="1" applyBorder="1"/>
    <xf numFmtId="165" fontId="0" fillId="0" borderId="16" xfId="2" applyNumberFormat="1" applyFont="1" applyBorder="1"/>
    <xf numFmtId="0" fontId="1" fillId="8" borderId="17" xfId="0" applyFont="1" applyFill="1" applyBorder="1"/>
    <xf numFmtId="0" fontId="1" fillId="8" borderId="18" xfId="0" applyFont="1" applyFill="1" applyBorder="1"/>
    <xf numFmtId="165" fontId="8" fillId="13" borderId="2" xfId="0" applyNumberFormat="1" applyFont="1" applyFill="1" applyBorder="1"/>
    <xf numFmtId="0" fontId="1" fillId="14" borderId="0" xfId="0" applyFont="1" applyFill="1"/>
    <xf numFmtId="165" fontId="8" fillId="15" borderId="0" xfId="0" applyNumberFormat="1" applyFont="1" applyFill="1"/>
    <xf numFmtId="165" fontId="8" fillId="16" borderId="0" xfId="0" applyNumberFormat="1" applyFont="1" applyFill="1"/>
    <xf numFmtId="0" fontId="1" fillId="0" borderId="8" xfId="0" applyFont="1" applyBorder="1"/>
    <xf numFmtId="165" fontId="0" fillId="0" borderId="9" xfId="2" applyNumberFormat="1" applyFont="1" applyBorder="1"/>
    <xf numFmtId="0" fontId="1" fillId="0" borderId="16" xfId="0" applyFont="1" applyBorder="1"/>
    <xf numFmtId="165" fontId="0" fillId="0" borderId="0" xfId="2" applyNumberFormat="1" applyFont="1"/>
    <xf numFmtId="165" fontId="0" fillId="0" borderId="19" xfId="2" applyNumberFormat="1" applyFont="1" applyBorder="1"/>
    <xf numFmtId="165" fontId="0" fillId="0" borderId="10" xfId="2" applyNumberFormat="1" applyFont="1" applyBorder="1"/>
    <xf numFmtId="0" fontId="0" fillId="0" borderId="0" xfId="0" applyAlignment="1">
      <alignment horizontal="right"/>
    </xf>
    <xf numFmtId="0" fontId="3" fillId="6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" fontId="12" fillId="7" borderId="15" xfId="0" applyNumberFormat="1" applyFont="1" applyFill="1" applyBorder="1"/>
    <xf numFmtId="3" fontId="8" fillId="6" borderId="0" xfId="0" applyNumberFormat="1" applyFont="1" applyFill="1"/>
    <xf numFmtId="0" fontId="1" fillId="0" borderId="0" xfId="0" applyFont="1"/>
    <xf numFmtId="3" fontId="3" fillId="5" borderId="15" xfId="0" applyNumberFormat="1" applyFont="1" applyFill="1" applyBorder="1" applyAlignment="1">
      <alignment horizontal="center" vertical="center" wrapText="1"/>
    </xf>
    <xf numFmtId="3" fontId="10" fillId="9" borderId="21" xfId="0" applyNumberFormat="1" applyFont="1" applyFill="1" applyBorder="1"/>
    <xf numFmtId="0" fontId="3" fillId="5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3" fontId="10" fillId="9" borderId="22" xfId="0" applyNumberFormat="1" applyFont="1" applyFill="1" applyBorder="1"/>
    <xf numFmtId="0" fontId="11" fillId="10" borderId="23" xfId="0" applyFont="1" applyFill="1" applyBorder="1" applyAlignment="1">
      <alignment horizontal="right"/>
    </xf>
    <xf numFmtId="0" fontId="11" fillId="10" borderId="0" xfId="0" applyFont="1" applyFill="1" applyBorder="1" applyAlignment="1">
      <alignment horizontal="right"/>
    </xf>
    <xf numFmtId="3" fontId="8" fillId="6" borderId="24" xfId="0" applyNumberFormat="1" applyFont="1" applyFill="1" applyBorder="1"/>
    <xf numFmtId="3" fontId="8" fillId="6" borderId="13" xfId="0" applyNumberFormat="1" applyFont="1" applyFill="1" applyBorder="1"/>
    <xf numFmtId="3" fontId="8" fillId="6" borderId="14" xfId="0" applyNumberFormat="1" applyFont="1" applyFill="1" applyBorder="1"/>
    <xf numFmtId="0" fontId="5" fillId="8" borderId="21" xfId="0" applyFont="1" applyFill="1" applyBorder="1" applyAlignment="1">
      <alignment horizontal="left" vertical="center" wrapText="1"/>
    </xf>
    <xf numFmtId="0" fontId="0" fillId="8" borderId="21" xfId="0" applyFill="1" applyBorder="1"/>
    <xf numFmtId="0" fontId="10" fillId="9" borderId="25" xfId="0" applyFont="1" applyFill="1" applyBorder="1" applyAlignment="1">
      <alignment horizontal="right"/>
    </xf>
    <xf numFmtId="0" fontId="11" fillId="10" borderId="25" xfId="0" applyFont="1" applyFill="1" applyBorder="1" applyAlignment="1">
      <alignment horizontal="right"/>
    </xf>
    <xf numFmtId="0" fontId="3" fillId="6" borderId="0" xfId="0" applyFont="1" applyFill="1" applyBorder="1" applyAlignment="1">
      <alignment horizontal="center" vertical="center" wrapText="1"/>
    </xf>
    <xf numFmtId="3" fontId="10" fillId="9" borderId="0" xfId="0" applyNumberFormat="1" applyFont="1" applyFill="1" applyBorder="1"/>
    <xf numFmtId="0" fontId="3" fillId="5" borderId="2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3" fontId="10" fillId="9" borderId="23" xfId="0" applyNumberFormat="1" applyFont="1" applyFill="1" applyBorder="1"/>
    <xf numFmtId="3" fontId="10" fillId="9" borderId="12" xfId="0" applyNumberFormat="1" applyFont="1" applyFill="1" applyBorder="1"/>
    <xf numFmtId="0" fontId="11" fillId="10" borderId="12" xfId="0" applyFont="1" applyFill="1" applyBorder="1" applyAlignment="1">
      <alignment horizontal="right"/>
    </xf>
    <xf numFmtId="0" fontId="8" fillId="5" borderId="16" xfId="0" applyFont="1" applyFill="1" applyBorder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8" fillId="5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3" fillId="18" borderId="28" xfId="0" applyFont="1" applyFill="1" applyBorder="1" applyAlignment="1">
      <alignment horizontal="center" vertical="center"/>
    </xf>
    <xf numFmtId="0" fontId="13" fillId="18" borderId="2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18" borderId="32" xfId="0" applyFont="1" applyFill="1" applyBorder="1" applyAlignment="1">
      <alignment horizontal="center" vertical="center"/>
    </xf>
    <xf numFmtId="0" fontId="13" fillId="18" borderId="27" xfId="0" applyFont="1" applyFill="1" applyBorder="1" applyAlignment="1">
      <alignment horizontal="center" vertical="center"/>
    </xf>
    <xf numFmtId="165" fontId="14" fillId="19" borderId="30" xfId="2" applyNumberFormat="1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3" fontId="0" fillId="0" borderId="0" xfId="0" applyNumberFormat="1" applyFill="1"/>
    <xf numFmtId="0" fontId="3" fillId="5" borderId="33" xfId="0" applyFont="1" applyFill="1" applyBorder="1" applyAlignment="1">
      <alignment horizontal="center" vertical="center" wrapText="1"/>
    </xf>
    <xf numFmtId="0" fontId="8" fillId="6" borderId="31" xfId="0" applyFont="1" applyFill="1" applyBorder="1"/>
    <xf numFmtId="3" fontId="5" fillId="8" borderId="31" xfId="0" applyNumberFormat="1" applyFont="1" applyFill="1" applyBorder="1" applyAlignment="1">
      <alignment horizontal="left" vertical="center" wrapText="1"/>
    </xf>
    <xf numFmtId="3" fontId="10" fillId="9" borderId="34" xfId="0" applyNumberFormat="1" applyFont="1" applyFill="1" applyBorder="1"/>
    <xf numFmtId="0" fontId="11" fillId="10" borderId="31" xfId="0" applyFont="1" applyFill="1" applyBorder="1" applyAlignment="1">
      <alignment horizontal="right"/>
    </xf>
    <xf numFmtId="0" fontId="3" fillId="6" borderId="31" xfId="0" applyFont="1" applyFill="1" applyBorder="1"/>
    <xf numFmtId="3" fontId="8" fillId="6" borderId="30" xfId="0" applyNumberFormat="1" applyFont="1" applyFill="1" applyBorder="1"/>
    <xf numFmtId="3" fontId="10" fillId="9" borderId="21" xfId="0" applyNumberFormat="1" applyFont="1" applyFill="1" applyBorder="1" applyAlignment="1">
      <alignment horizontal="right"/>
    </xf>
    <xf numFmtId="3" fontId="3" fillId="6" borderId="22" xfId="0" applyNumberFormat="1" applyFont="1" applyFill="1" applyBorder="1" applyAlignment="1">
      <alignment horizontal="center" vertical="center" wrapText="1"/>
    </xf>
    <xf numFmtId="3" fontId="3" fillId="6" borderId="1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0" fillId="0" borderId="21" xfId="0" applyFill="1" applyBorder="1"/>
    <xf numFmtId="3" fontId="11" fillId="10" borderId="31" xfId="0" applyNumberFormat="1" applyFont="1" applyFill="1" applyBorder="1" applyAlignment="1">
      <alignment horizontal="right"/>
    </xf>
    <xf numFmtId="3" fontId="3" fillId="6" borderId="31" xfId="0" applyNumberFormat="1" applyFont="1" applyFill="1" applyBorder="1"/>
    <xf numFmtId="3" fontId="8" fillId="6" borderId="31" xfId="0" applyNumberFormat="1" applyFont="1" applyFill="1" applyBorder="1"/>
    <xf numFmtId="3" fontId="5" fillId="0" borderId="31" xfId="0" applyNumberFormat="1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 vertical="center" wrapText="1"/>
    </xf>
    <xf numFmtId="3" fontId="12" fillId="7" borderId="22" xfId="0" applyNumberFormat="1" applyFont="1" applyFill="1" applyBorder="1"/>
    <xf numFmtId="0" fontId="0" fillId="0" borderId="31" xfId="0" applyBorder="1"/>
    <xf numFmtId="0" fontId="3" fillId="5" borderId="34" xfId="0" applyFont="1" applyFill="1" applyBorder="1" applyAlignment="1">
      <alignment horizontal="center" vertical="center" wrapText="1"/>
    </xf>
    <xf numFmtId="0" fontId="1" fillId="2" borderId="31" xfId="0" applyFont="1" applyFill="1" applyBorder="1"/>
    <xf numFmtId="3" fontId="12" fillId="7" borderId="34" xfId="0" applyNumberFormat="1" applyFont="1" applyFill="1" applyBorder="1"/>
    <xf numFmtId="0" fontId="8" fillId="5" borderId="2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9" fontId="8" fillId="5" borderId="11" xfId="1" applyFont="1" applyFill="1" applyBorder="1" applyAlignment="1">
      <alignment horizontal="center" vertical="center" wrapText="1"/>
    </xf>
    <xf numFmtId="9" fontId="8" fillId="5" borderId="27" xfId="1" applyFont="1" applyFill="1" applyBorder="1" applyAlignment="1">
      <alignment horizontal="center" vertical="center" wrapText="1"/>
    </xf>
    <xf numFmtId="9" fontId="0" fillId="0" borderId="35" xfId="0" applyNumberFormat="1" applyBorder="1"/>
    <xf numFmtId="6" fontId="0" fillId="0" borderId="36" xfId="0" applyNumberFormat="1" applyBorder="1"/>
    <xf numFmtId="6" fontId="0" fillId="0" borderId="37" xfId="0" applyNumberFormat="1" applyBorder="1"/>
    <xf numFmtId="9" fontId="0" fillId="0" borderId="38" xfId="0" applyNumberFormat="1" applyBorder="1"/>
    <xf numFmtId="6" fontId="0" fillId="0" borderId="39" xfId="0" applyNumberFormat="1" applyBorder="1"/>
    <xf numFmtId="6" fontId="0" fillId="0" borderId="40" xfId="0" applyNumberFormat="1" applyBorder="1"/>
    <xf numFmtId="0" fontId="8" fillId="5" borderId="27" xfId="0" applyFont="1" applyFill="1" applyBorder="1" applyAlignment="1">
      <alignment horizontal="center" vertical="center" wrapText="1"/>
    </xf>
    <xf numFmtId="9" fontId="0" fillId="0" borderId="41" xfId="0" applyNumberFormat="1" applyBorder="1"/>
    <xf numFmtId="6" fontId="0" fillId="0" borderId="42" xfId="0" applyNumberFormat="1" applyBorder="1"/>
    <xf numFmtId="43" fontId="0" fillId="0" borderId="42" xfId="2" applyFont="1" applyBorder="1"/>
    <xf numFmtId="9" fontId="0" fillId="0" borderId="12" xfId="0" applyNumberFormat="1" applyBorder="1"/>
    <xf numFmtId="9" fontId="0" fillId="0" borderId="43" xfId="0" applyNumberFormat="1" applyBorder="1"/>
    <xf numFmtId="6" fontId="0" fillId="0" borderId="44" xfId="0" applyNumberFormat="1" applyBorder="1"/>
    <xf numFmtId="43" fontId="0" fillId="0" borderId="44" xfId="2" applyFont="1" applyBorder="1"/>
    <xf numFmtId="9" fontId="0" fillId="0" borderId="14" xfId="0" applyNumberFormat="1" applyBorder="1"/>
    <xf numFmtId="0" fontId="1" fillId="20" borderId="0" xfId="0" applyFont="1" applyFill="1"/>
    <xf numFmtId="0" fontId="1" fillId="17" borderId="0" xfId="0" applyFont="1" applyFill="1"/>
    <xf numFmtId="0" fontId="0" fillId="0" borderId="23" xfId="0" applyBorder="1"/>
    <xf numFmtId="0" fontId="0" fillId="0" borderId="12" xfId="0" applyBorder="1"/>
    <xf numFmtId="0" fontId="0" fillId="0" borderId="0" xfId="0" applyBorder="1"/>
    <xf numFmtId="0" fontId="0" fillId="10" borderId="26" xfId="0" applyFill="1" applyBorder="1"/>
    <xf numFmtId="0" fontId="0" fillId="10" borderId="11" xfId="0" applyFill="1" applyBorder="1"/>
    <xf numFmtId="0" fontId="0" fillId="10" borderId="27" xfId="0" applyFill="1" applyBorder="1"/>
    <xf numFmtId="0" fontId="0" fillId="10" borderId="23" xfId="0" applyFill="1" applyBorder="1"/>
    <xf numFmtId="0" fontId="0" fillId="10" borderId="0" xfId="0" applyFill="1" applyBorder="1"/>
    <xf numFmtId="0" fontId="0" fillId="10" borderId="12" xfId="0" applyFill="1" applyBorder="1"/>
    <xf numFmtId="0" fontId="15" fillId="10" borderId="23" xfId="3" applyFill="1" applyBorder="1"/>
    <xf numFmtId="0" fontId="15" fillId="10" borderId="0" xfId="3" applyFill="1" applyBorder="1"/>
    <xf numFmtId="0" fontId="15" fillId="10" borderId="12" xfId="3" applyFill="1" applyBorder="1"/>
    <xf numFmtId="167" fontId="16" fillId="10" borderId="23" xfId="3" applyNumberFormat="1" applyFont="1" applyFill="1" applyBorder="1" applyAlignment="1">
      <alignment horizontal="right"/>
    </xf>
    <xf numFmtId="0" fontId="17" fillId="10" borderId="23" xfId="0" applyFont="1" applyFill="1" applyBorder="1" applyAlignment="1">
      <alignment horizontal="right"/>
    </xf>
    <xf numFmtId="0" fontId="18" fillId="10" borderId="1" xfId="0" applyFont="1" applyFill="1" applyBorder="1"/>
    <xf numFmtId="14" fontId="21" fillId="10" borderId="0" xfId="3" applyNumberFormat="1" applyFont="1" applyFill="1" applyBorder="1" applyAlignment="1">
      <alignment horizontal="left"/>
    </xf>
    <xf numFmtId="168" fontId="21" fillId="10" borderId="0" xfId="3" applyNumberFormat="1" applyFont="1" applyFill="1" applyBorder="1" applyAlignment="1">
      <alignment horizontal="left"/>
    </xf>
    <xf numFmtId="0" fontId="24" fillId="14" borderId="0" xfId="4" applyFont="1" applyFill="1"/>
    <xf numFmtId="0" fontId="24" fillId="8" borderId="0" xfId="4" applyFont="1" applyFill="1"/>
    <xf numFmtId="0" fontId="8" fillId="5" borderId="15" xfId="0" applyFont="1" applyFill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/>
    </xf>
    <xf numFmtId="6" fontId="1" fillId="0" borderId="20" xfId="0" applyNumberFormat="1" applyFont="1" applyBorder="1" applyAlignment="1">
      <alignment horizontal="center"/>
    </xf>
    <xf numFmtId="0" fontId="0" fillId="3" borderId="17" xfId="0" applyFill="1" applyBorder="1"/>
    <xf numFmtId="0" fontId="0" fillId="4" borderId="17" xfId="0" applyFill="1" applyBorder="1"/>
    <xf numFmtId="0" fontId="0" fillId="4" borderId="3" xfId="0" applyFill="1" applyBorder="1"/>
    <xf numFmtId="0" fontId="4" fillId="0" borderId="6" xfId="0" applyFont="1" applyBorder="1" applyAlignment="1">
      <alignment vertical="center" wrapText="1"/>
    </xf>
    <xf numFmtId="0" fontId="1" fillId="20" borderId="32" xfId="0" applyFont="1" applyFill="1" applyBorder="1" applyAlignment="1">
      <alignment horizontal="center"/>
    </xf>
    <xf numFmtId="164" fontId="0" fillId="3" borderId="47" xfId="1" applyNumberFormat="1" applyFont="1" applyFill="1" applyBorder="1" applyAlignment="1">
      <alignment horizontal="center" vertical="center"/>
    </xf>
    <xf numFmtId="164" fontId="0" fillId="4" borderId="48" xfId="1" applyNumberFormat="1" applyFont="1" applyFill="1" applyBorder="1" applyAlignment="1">
      <alignment horizontal="center" vertical="center"/>
    </xf>
    <xf numFmtId="0" fontId="1" fillId="20" borderId="32" xfId="0" applyFont="1" applyFill="1" applyBorder="1"/>
    <xf numFmtId="9" fontId="1" fillId="20" borderId="31" xfId="0" applyNumberFormat="1" applyFont="1" applyFill="1" applyBorder="1" applyAlignment="1">
      <alignment horizontal="center"/>
    </xf>
    <xf numFmtId="9" fontId="1" fillId="20" borderId="30" xfId="0" applyNumberFormat="1" applyFont="1" applyFill="1" applyBorder="1" applyAlignment="1">
      <alignment horizontal="center"/>
    </xf>
    <xf numFmtId="9" fontId="1" fillId="17" borderId="30" xfId="0" applyNumberFormat="1" applyFont="1" applyFill="1" applyBorder="1" applyAlignment="1">
      <alignment horizontal="center"/>
    </xf>
    <xf numFmtId="0" fontId="8" fillId="21" borderId="0" xfId="0" applyFont="1" applyFill="1"/>
    <xf numFmtId="3" fontId="8" fillId="21" borderId="31" xfId="0" applyNumberFormat="1" applyFont="1" applyFill="1" applyBorder="1"/>
    <xf numFmtId="6" fontId="8" fillId="21" borderId="30" xfId="0" applyNumberFormat="1" applyFont="1" applyFill="1" applyBorder="1"/>
    <xf numFmtId="3" fontId="12" fillId="7" borderId="49" xfId="0" applyNumberFormat="1" applyFont="1" applyFill="1" applyBorder="1"/>
    <xf numFmtId="0" fontId="3" fillId="5" borderId="50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3" fontId="12" fillId="7" borderId="56" xfId="0" applyNumberFormat="1" applyFont="1" applyFill="1" applyBorder="1"/>
    <xf numFmtId="3" fontId="12" fillId="7" borderId="57" xfId="0" applyNumberFormat="1" applyFont="1" applyFill="1" applyBorder="1"/>
    <xf numFmtId="3" fontId="12" fillId="7" borderId="58" xfId="0" applyNumberFormat="1" applyFont="1" applyFill="1" applyBorder="1"/>
    <xf numFmtId="0" fontId="1" fillId="0" borderId="3" xfId="0" applyFont="1" applyBorder="1"/>
    <xf numFmtId="0" fontId="1" fillId="0" borderId="7" xfId="0" applyFont="1" applyBorder="1"/>
    <xf numFmtId="0" fontId="1" fillId="0" borderId="6" xfId="0" applyFont="1" applyBorder="1"/>
    <xf numFmtId="0" fontId="3" fillId="6" borderId="28" xfId="0" applyFont="1" applyFill="1" applyBorder="1" applyAlignment="1">
      <alignment horizontal="center" vertical="center" wrapText="1"/>
    </xf>
    <xf numFmtId="0" fontId="25" fillId="18" borderId="30" xfId="0" applyFont="1" applyFill="1" applyBorder="1" applyAlignment="1">
      <alignment horizontal="center" vertical="center" wrapText="1"/>
    </xf>
    <xf numFmtId="0" fontId="19" fillId="10" borderId="23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wrapText="1"/>
    </xf>
    <xf numFmtId="0" fontId="19" fillId="10" borderId="13" xfId="0" applyFont="1" applyFill="1" applyBorder="1" applyAlignment="1">
      <alignment horizontal="center" wrapText="1"/>
    </xf>
    <xf numFmtId="0" fontId="20" fillId="10" borderId="14" xfId="0" applyFont="1" applyFill="1" applyBorder="1" applyAlignment="1">
      <alignment horizontal="center" wrapText="1"/>
    </xf>
    <xf numFmtId="0" fontId="21" fillId="10" borderId="23" xfId="3" applyFont="1" applyFill="1" applyBorder="1" applyAlignment="1">
      <alignment horizontal="center" vertical="center" wrapText="1"/>
    </xf>
    <xf numFmtId="0" fontId="21" fillId="10" borderId="0" xfId="3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vertical="center" wrapText="1"/>
    </xf>
    <xf numFmtId="0" fontId="22" fillId="10" borderId="23" xfId="0" applyFont="1" applyFill="1" applyBorder="1" applyAlignment="1">
      <alignment vertical="center" wrapText="1"/>
    </xf>
    <xf numFmtId="0" fontId="22" fillId="10" borderId="0" xfId="0" applyFont="1" applyFill="1" applyBorder="1" applyAlignment="1">
      <alignment vertical="center" wrapText="1"/>
    </xf>
    <xf numFmtId="0" fontId="16" fillId="10" borderId="23" xfId="3" applyFont="1" applyFill="1" applyBorder="1" applyAlignment="1">
      <alignment horizontal="center"/>
    </xf>
    <xf numFmtId="0" fontId="16" fillId="10" borderId="0" xfId="3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9" fillId="10" borderId="23" xfId="0" applyFont="1" applyFill="1" applyBorder="1" applyAlignment="1">
      <alignment horizontal="center" wrapText="1"/>
    </xf>
    <xf numFmtId="0" fontId="19" fillId="10" borderId="0" xfId="0" applyFont="1" applyFill="1" applyBorder="1" applyAlignment="1">
      <alignment horizontal="center" wrapText="1"/>
    </xf>
    <xf numFmtId="0" fontId="20" fillId="10" borderId="12" xfId="0" applyFont="1" applyFill="1" applyBorder="1" applyAlignment="1">
      <alignment horizontal="center" wrapText="1"/>
    </xf>
    <xf numFmtId="0" fontId="8" fillId="5" borderId="0" xfId="0" applyFont="1" applyFill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11" borderId="16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166" fontId="14" fillId="19" borderId="32" xfId="0" applyNumberFormat="1" applyFont="1" applyFill="1" applyBorder="1" applyAlignment="1">
      <alignment horizontal="center" vertical="center"/>
    </xf>
    <xf numFmtId="166" fontId="14" fillId="19" borderId="30" xfId="0" applyNumberFormat="1" applyFont="1" applyFill="1" applyBorder="1" applyAlignment="1">
      <alignment horizontal="center" vertical="center"/>
    </xf>
    <xf numFmtId="2" fontId="14" fillId="19" borderId="32" xfId="0" applyNumberFormat="1" applyFont="1" applyFill="1" applyBorder="1" applyAlignment="1">
      <alignment horizontal="center" vertical="center"/>
    </xf>
    <xf numFmtId="2" fontId="14" fillId="19" borderId="30" xfId="0" applyNumberFormat="1" applyFont="1" applyFill="1" applyBorder="1" applyAlignment="1">
      <alignment horizontal="center" vertical="center"/>
    </xf>
    <xf numFmtId="0" fontId="0" fillId="20" borderId="45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0" fillId="20" borderId="29" xfId="0" applyFill="1" applyBorder="1" applyAlignment="1">
      <alignment horizontal="center" vertical="center"/>
    </xf>
    <xf numFmtId="3" fontId="0" fillId="22" borderId="23" xfId="0" applyNumberFormat="1" applyFill="1" applyBorder="1"/>
    <xf numFmtId="3" fontId="0" fillId="22" borderId="0" xfId="0" applyNumberFormat="1" applyFill="1" applyBorder="1"/>
    <xf numFmtId="3" fontId="0" fillId="22" borderId="12" xfId="0" applyNumberFormat="1" applyFill="1" applyBorder="1"/>
    <xf numFmtId="3" fontId="9" fillId="22" borderId="0" xfId="0" applyNumberFormat="1" applyFont="1" applyFill="1" applyBorder="1"/>
    <xf numFmtId="0" fontId="11" fillId="10" borderId="30" xfId="0" applyFont="1" applyFill="1" applyBorder="1" applyAlignment="1">
      <alignment horizontal="right"/>
    </xf>
  </cellXfs>
  <cellStyles count="5">
    <cellStyle name="Lien hypertexte" xfId="4" builtinId="8"/>
    <cellStyle name="Milliers" xfId="2" builtinId="3"/>
    <cellStyle name="Normal" xfId="0" builtinId="0"/>
    <cellStyle name="Normal 11" xfId="3" xr:uid="{C81CEB74-C9A9-4465-AD7D-6186294DAC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'1-ACB'!$C$36</c:f>
              <c:strCache>
                <c:ptCount val="1"/>
                <c:pt idx="0">
                  <c:v>VAN (M.USD) avce le finacnement GCF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'1-ACB'!$B$37:$B$40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'1-ACB'!$C$37:$C$40</c:f>
              <c:numCache>
                <c:formatCode>"€"#,##0_);[Red]\("€"#,##0\)</c:formatCode>
                <c:ptCount val="4"/>
                <c:pt idx="0">
                  <c:v>1142.3183226613958</c:v>
                </c:pt>
                <c:pt idx="1">
                  <c:v>754.87060460213092</c:v>
                </c:pt>
                <c:pt idx="2">
                  <c:v>521.98361388632702</c:v>
                </c:pt>
                <c:pt idx="3">
                  <c:v>373.836060500396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D7-407B-BF02-04085462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853440"/>
        <c:axId val="703849832"/>
      </c:scatterChart>
      <c:valAx>
        <c:axId val="70385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3849832"/>
        <c:crosses val="autoZero"/>
        <c:crossBetween val="midCat"/>
      </c:valAx>
      <c:valAx>
        <c:axId val="70384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_);[Red]\(&quot;€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385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'4-ACB-sensibilite'!$C$45</c:f>
              <c:strCache>
                <c:ptCount val="1"/>
                <c:pt idx="0">
                  <c:v>VAN reference (M.USD)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'4-ACB-sensibilite'!$C$47:$C$50</c:f>
              <c:numCache>
                <c:formatCode>"€"#,##0_);[Red]\("€"#,##0\)</c:formatCode>
                <c:ptCount val="4"/>
                <c:pt idx="0">
                  <c:v>1142.3183226613958</c:v>
                </c:pt>
                <c:pt idx="1">
                  <c:v>754.87060460213092</c:v>
                </c:pt>
                <c:pt idx="2">
                  <c:v>521.98361388632702</c:v>
                </c:pt>
                <c:pt idx="3">
                  <c:v>373.836060500396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37-44E0-B3C8-086D6FBF00DB}"/>
            </c:ext>
          </c:extLst>
        </c:ser>
        <c:ser>
          <c:idx val="1"/>
          <c:order val="1"/>
          <c:tx>
            <c:strRef>
              <c:f>'4-ACB-sensibilite'!$D$46</c:f>
              <c:strCache>
                <c:ptCount val="1"/>
                <c:pt idx="0">
                  <c:v>-30%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'4-ACB-sensibilite'!$D$47:$D$50</c:f>
              <c:numCache>
                <c:formatCode>"€"#,##0_);[Red]\("€"#,##0\)</c:formatCode>
                <c:ptCount val="4"/>
                <c:pt idx="0">
                  <c:v>810.19987841280886</c:v>
                </c:pt>
                <c:pt idx="1">
                  <c:v>529.84319664872896</c:v>
                </c:pt>
                <c:pt idx="2">
                  <c:v>361.58759178360583</c:v>
                </c:pt>
                <c:pt idx="3">
                  <c:v>254.77331642361901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37-44E0-B3C8-086D6FBF00DB}"/>
            </c:ext>
          </c:extLst>
        </c:ser>
        <c:ser>
          <c:idx val="2"/>
          <c:order val="2"/>
          <c:tx>
            <c:strRef>
              <c:f>'4-ACB-sensibilite'!$E$46</c:f>
              <c:strCache>
                <c:ptCount val="1"/>
                <c:pt idx="0">
                  <c:v>-15%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'4-ACB-sensibilite'!$E$47:$E$50</c:f>
              <c:numCache>
                <c:formatCode>"€"#,##0_);[Red]\("€"#,##0\)</c:formatCode>
                <c:ptCount val="4"/>
                <c:pt idx="0">
                  <c:v>998.88658531450494</c:v>
                </c:pt>
                <c:pt idx="1">
                  <c:v>657.80503859904081</c:v>
                </c:pt>
                <c:pt idx="2">
                  <c:v>452.89067721660876</c:v>
                </c:pt>
                <c:pt idx="3">
                  <c:v>322.6240528709115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37-44E0-B3C8-086D6FBF00DB}"/>
            </c:ext>
          </c:extLst>
        </c:ser>
        <c:ser>
          <c:idx val="3"/>
          <c:order val="3"/>
          <c:tx>
            <c:strRef>
              <c:f>'4-ACB-sensibilite'!$F$46</c:f>
              <c:strCache>
                <c:ptCount val="1"/>
                <c:pt idx="0">
                  <c:v>15%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'4-ACB-sensibilite'!$F$47:$F$50</c:f>
              <c:numCache>
                <c:formatCode>"€"#,##0_);[Red]\("€"#,##0\)</c:formatCode>
                <c:ptCount val="4"/>
                <c:pt idx="0">
                  <c:v>1376.2599991178965</c:v>
                </c:pt>
                <c:pt idx="1">
                  <c:v>913.72872249966451</c:v>
                </c:pt>
                <c:pt idx="2">
                  <c:v>635.49684808261497</c:v>
                </c:pt>
                <c:pt idx="3">
                  <c:v>458.32552576549648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37-44E0-B3C8-086D6FBF00DB}"/>
            </c:ext>
          </c:extLst>
        </c:ser>
        <c:ser>
          <c:idx val="4"/>
          <c:order val="4"/>
          <c:tx>
            <c:strRef>
              <c:f>'4-ACB-sensibilite'!$G$46</c:f>
              <c:strCache>
                <c:ptCount val="1"/>
                <c:pt idx="0">
                  <c:v>30%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'4-ACB-sensibilite'!$G$47:$G$50</c:f>
              <c:numCache>
                <c:formatCode>"€"#,##0_);[Red]\("€"#,##0\)</c:formatCode>
                <c:ptCount val="4"/>
                <c:pt idx="0">
                  <c:v>1564.9467060195936</c:v>
                </c:pt>
                <c:pt idx="1">
                  <c:v>1041.6905644499768</c:v>
                </c:pt>
                <c:pt idx="2">
                  <c:v>726.79993351561848</c:v>
                </c:pt>
                <c:pt idx="3">
                  <c:v>526.1762622127892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37-44E0-B3C8-086D6FBF0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06920"/>
        <c:axId val="612707248"/>
      </c:scatterChart>
      <c:valAx>
        <c:axId val="612706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2707248"/>
        <c:crosses val="autoZero"/>
        <c:crossBetween val="midCat"/>
      </c:valAx>
      <c:valAx>
        <c:axId val="612707248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_);[Red]\(&quot;€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2706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1381126</xdr:colOff>
      <xdr:row>14</xdr:row>
      <xdr:rowOff>15687</xdr:rowOff>
    </xdr:from>
    <xdr:to>
      <xdr:col>4</xdr:col>
      <xdr:colOff>485776</xdr:colOff>
      <xdr:row>23</xdr:row>
      <xdr:rowOff>143589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0DCB6A-CFD0-479B-B31D-7BF1786E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6" y="2892237"/>
          <a:ext cx="3790950" cy="1842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235324</xdr:colOff>
      <xdr:row>35</xdr:row>
      <xdr:rowOff>123264</xdr:rowOff>
    </xdr:from>
    <xdr:to>
      <xdr:col>8</xdr:col>
      <xdr:colOff>627529</xdr:colOff>
      <xdr:row>51</xdr:row>
      <xdr:rowOff>8964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7BE9CC-EEE8-475B-8FEA-6D1F5D4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38</xdr:row>
      <xdr:rowOff>266700</xdr:rowOff>
    </xdr:from>
    <xdr:to>
      <xdr:col>15</xdr:col>
      <xdr:colOff>771525</xdr:colOff>
      <xdr:row>53</xdr:row>
      <xdr:rowOff>161925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D6517396-FE43-4D3D-B1E0-2B73B4474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Couleurs IREEDD">
      <a:dk1>
        <a:sysClr val="windowText" lastClr="000000"/>
      </a:dk1>
      <a:lt1>
        <a:sysClr val="window" lastClr="FFFFFF"/>
      </a:lt1>
      <a:dk2>
        <a:srgbClr val="51636C"/>
      </a:dk2>
      <a:lt2>
        <a:srgbClr val="E7E6E6"/>
      </a:lt2>
      <a:accent1>
        <a:srgbClr val="8EB116"/>
      </a:accent1>
      <a:accent2>
        <a:srgbClr val="00A4C0"/>
      </a:accent2>
      <a:accent3>
        <a:srgbClr val="A5A5A5"/>
      </a:accent3>
      <a:accent4>
        <a:srgbClr val="FFC000"/>
      </a:accent4>
      <a:accent5>
        <a:srgbClr val="00A4C0"/>
      </a:accent5>
      <a:accent6>
        <a:srgbClr val="8EB11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0442-CAD2-4450-A8CB-32AF4CE90E9F}">
  <dimension ref="C2:E29"/>
  <sheetViews>
    <sheetView tabSelected="1" topLeftCell="A19" workbookViewId="0">
      <selection activeCell="F28" sqref="F28"/>
    </sheetView>
  </sheetViews>
  <sheetFormatPr baseColWidth="10" defaultRowHeight="15"/>
  <cols>
    <col min="3" max="3" width="46.5703125" customWidth="1"/>
    <col min="4" max="4" width="23.7109375" customWidth="1"/>
    <col min="5" max="5" width="28.28515625" customWidth="1"/>
  </cols>
  <sheetData>
    <row r="2" spans="3:5" ht="15.75" thickBot="1"/>
    <row r="3" spans="3:5">
      <c r="C3" s="139"/>
      <c r="D3" s="140"/>
      <c r="E3" s="141"/>
    </row>
    <row r="4" spans="3:5">
      <c r="C4" s="142"/>
      <c r="D4" s="143"/>
      <c r="E4" s="144"/>
    </row>
    <row r="5" spans="3:5">
      <c r="C5" s="193" t="s">
        <v>79</v>
      </c>
      <c r="D5" s="194"/>
      <c r="E5" s="195"/>
    </row>
    <row r="6" spans="3:5">
      <c r="C6" s="196"/>
      <c r="D6" s="197"/>
      <c r="E6" s="195"/>
    </row>
    <row r="7" spans="3:5">
      <c r="C7" s="196"/>
      <c r="D7" s="197"/>
      <c r="E7" s="195"/>
    </row>
    <row r="8" spans="3:5">
      <c r="C8" s="145"/>
      <c r="D8" s="146"/>
      <c r="E8" s="147"/>
    </row>
    <row r="9" spans="3:5" ht="20.25">
      <c r="C9" s="148" t="s">
        <v>74</v>
      </c>
      <c r="D9" s="151">
        <v>43818</v>
      </c>
      <c r="E9" s="144" t="s">
        <v>95</v>
      </c>
    </row>
    <row r="10" spans="3:5">
      <c r="C10" s="145"/>
      <c r="D10" s="146"/>
      <c r="E10" s="144"/>
    </row>
    <row r="11" spans="3:5" ht="20.25">
      <c r="C11" s="148" t="s">
        <v>75</v>
      </c>
      <c r="D11" s="152">
        <v>0.9784722222222223</v>
      </c>
      <c r="E11" s="144"/>
    </row>
    <row r="12" spans="3:5">
      <c r="C12" s="145"/>
      <c r="D12" s="146"/>
      <c r="E12" s="147"/>
    </row>
    <row r="13" spans="3:5" ht="20.25">
      <c r="C13" s="198" t="s">
        <v>76</v>
      </c>
      <c r="D13" s="199"/>
      <c r="E13" s="200"/>
    </row>
    <row r="14" spans="3:5">
      <c r="C14" s="145"/>
      <c r="D14" s="146"/>
      <c r="E14" s="147"/>
    </row>
    <row r="15" spans="3:5">
      <c r="C15" s="142"/>
      <c r="D15" s="143"/>
      <c r="E15" s="144"/>
    </row>
    <row r="16" spans="3:5">
      <c r="C16" s="145"/>
      <c r="D16" s="146"/>
      <c r="E16" s="147"/>
    </row>
    <row r="17" spans="3:5">
      <c r="C17" s="145"/>
      <c r="D17" s="146"/>
      <c r="E17" s="147"/>
    </row>
    <row r="18" spans="3:5">
      <c r="C18" s="145"/>
      <c r="D18" s="146"/>
      <c r="E18" s="147"/>
    </row>
    <row r="19" spans="3:5">
      <c r="C19" s="145"/>
      <c r="D19" s="146"/>
      <c r="E19" s="147"/>
    </row>
    <row r="20" spans="3:5">
      <c r="C20" s="145"/>
      <c r="D20" s="146"/>
      <c r="E20" s="147"/>
    </row>
    <row r="21" spans="3:5">
      <c r="C21" s="145"/>
      <c r="D21" s="146"/>
      <c r="E21" s="147"/>
    </row>
    <row r="22" spans="3:5">
      <c r="C22" s="145"/>
      <c r="D22" s="146"/>
      <c r="E22" s="147"/>
    </row>
    <row r="23" spans="3:5">
      <c r="C23" s="145"/>
      <c r="D23" s="146"/>
      <c r="E23" s="147"/>
    </row>
    <row r="24" spans="3:5">
      <c r="C24" s="145"/>
      <c r="D24" s="146"/>
      <c r="E24" s="147"/>
    </row>
    <row r="25" spans="3:5">
      <c r="C25" s="142"/>
      <c r="D25" s="143"/>
      <c r="E25" s="144"/>
    </row>
    <row r="26" spans="3:5">
      <c r="C26" s="149" t="s">
        <v>77</v>
      </c>
      <c r="D26" s="150" t="s">
        <v>73</v>
      </c>
      <c r="E26" s="144"/>
    </row>
    <row r="27" spans="3:5">
      <c r="C27" s="201"/>
      <c r="D27" s="202"/>
      <c r="E27" s="203"/>
    </row>
    <row r="28" spans="3:5" ht="50.25" customHeight="1">
      <c r="C28" s="187" t="s">
        <v>91</v>
      </c>
      <c r="D28" s="188"/>
      <c r="E28" s="189"/>
    </row>
    <row r="29" spans="3:5" ht="36" customHeight="1" thickBot="1">
      <c r="C29" s="190" t="s">
        <v>78</v>
      </c>
      <c r="D29" s="191"/>
      <c r="E29" s="192"/>
    </row>
  </sheetData>
  <mergeCells count="5">
    <mergeCell ref="C28:E28"/>
    <mergeCell ref="C29:E29"/>
    <mergeCell ref="C5:E7"/>
    <mergeCell ref="C13:E13"/>
    <mergeCell ref="C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88B5-F116-4E91-AF6E-5D100DB91873}">
  <dimension ref="A2:B9"/>
  <sheetViews>
    <sheetView workbookViewId="0">
      <selection activeCell="G6" sqref="G6"/>
    </sheetView>
  </sheetViews>
  <sheetFormatPr baseColWidth="10" defaultRowHeight="15"/>
  <cols>
    <col min="2" max="2" width="93.7109375" customWidth="1"/>
  </cols>
  <sheetData>
    <row r="2" spans="1:2">
      <c r="B2" s="90" t="s">
        <v>85</v>
      </c>
    </row>
    <row r="4" spans="1:2">
      <c r="B4" s="54" t="s">
        <v>80</v>
      </c>
    </row>
    <row r="6" spans="1:2" ht="15.75">
      <c r="A6">
        <v>1</v>
      </c>
      <c r="B6" s="153" t="s">
        <v>81</v>
      </c>
    </row>
    <row r="7" spans="1:2" ht="15.75">
      <c r="A7">
        <v>2</v>
      </c>
      <c r="B7" s="154" t="s">
        <v>82</v>
      </c>
    </row>
    <row r="8" spans="1:2" ht="15.75">
      <c r="A8">
        <v>3</v>
      </c>
      <c r="B8" s="153" t="s">
        <v>83</v>
      </c>
    </row>
    <row r="9" spans="1:2" ht="15.75">
      <c r="A9">
        <v>4</v>
      </c>
      <c r="B9" s="154" t="s">
        <v>84</v>
      </c>
    </row>
  </sheetData>
  <hyperlinks>
    <hyperlink ref="B6" location="ACB!A1" display="Analyse coûts-bénéfices du programme Hydromet " xr:uid="{B268C426-7EE6-4932-89BC-E4ABEF403938}"/>
    <hyperlink ref="B7" location="'Bénéfices EWS'!A1" display="Evaluation des bénéfices associés aux coûts évités du Servcie d'Alerte Précoce - SAP " xr:uid="{673F44A0-8209-4085-AA20-B790A4B1B848}"/>
    <hyperlink ref="B8" location="'Benefices Agric'!A1" display="Evaluation des bénéfices dans les secteurs agricoles par accroissment de la productivité" xr:uid="{EF9E4B39-D4C7-4A83-8F58-B3CA5485F62C}"/>
    <hyperlink ref="B9" location="'ACB-sensibilite'!A1" display="Analyse de la sensibilité des résultats aux variations des bénéfices" xr:uid="{D432C7AD-FBB1-45D6-B7C7-D25CB64056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F231-4FD5-48A2-B534-519D8E8F7E1D}">
  <dimension ref="B3:BE40"/>
  <sheetViews>
    <sheetView topLeftCell="A4" zoomScale="85" zoomScaleNormal="85" workbookViewId="0">
      <pane ySplit="2" topLeftCell="A31" activePane="bottomLeft" state="frozen"/>
      <selection activeCell="A4" sqref="A4"/>
      <selection pane="bottomLeft" activeCell="C19" sqref="C19"/>
    </sheetView>
  </sheetViews>
  <sheetFormatPr baseColWidth="10" defaultRowHeight="15"/>
  <cols>
    <col min="1" max="1" width="2.7109375" customWidth="1"/>
    <col min="2" max="2" width="50.85546875" bestFit="1" customWidth="1"/>
    <col min="3" max="3" width="17.5703125" customWidth="1"/>
    <col min="4" max="5" width="9.85546875" bestFit="1" customWidth="1"/>
    <col min="6" max="6" width="10.85546875" bestFit="1" customWidth="1"/>
    <col min="7" max="7" width="9.85546875" bestFit="1" customWidth="1"/>
    <col min="8" max="8" width="14.28515625" bestFit="1" customWidth="1"/>
    <col min="9" max="10" width="10.85546875" bestFit="1" customWidth="1"/>
    <col min="11" max="12" width="9.85546875" bestFit="1" customWidth="1"/>
    <col min="13" max="13" width="11.5703125" bestFit="1" customWidth="1"/>
    <col min="14" max="57" width="10.85546875" bestFit="1" customWidth="1"/>
  </cols>
  <sheetData>
    <row r="3" spans="2:57">
      <c r="H3">
        <v>1</v>
      </c>
      <c r="I3">
        <v>2</v>
      </c>
      <c r="J3">
        <v>3</v>
      </c>
      <c r="K3">
        <v>4</v>
      </c>
      <c r="L3">
        <v>5</v>
      </c>
      <c r="M3">
        <f>L3+1</f>
        <v>6</v>
      </c>
      <c r="N3">
        <f t="shared" ref="N3:BE3" si="0">M3+1</f>
        <v>7</v>
      </c>
      <c r="O3">
        <f t="shared" si="0"/>
        <v>8</v>
      </c>
      <c r="P3">
        <f t="shared" si="0"/>
        <v>9</v>
      </c>
      <c r="Q3">
        <f t="shared" si="0"/>
        <v>10</v>
      </c>
      <c r="R3">
        <f t="shared" si="0"/>
        <v>11</v>
      </c>
      <c r="S3">
        <f t="shared" si="0"/>
        <v>12</v>
      </c>
      <c r="T3">
        <f t="shared" si="0"/>
        <v>13</v>
      </c>
      <c r="U3">
        <f t="shared" si="0"/>
        <v>14</v>
      </c>
      <c r="V3">
        <f t="shared" si="0"/>
        <v>15</v>
      </c>
      <c r="W3">
        <f t="shared" si="0"/>
        <v>16</v>
      </c>
      <c r="X3">
        <f t="shared" si="0"/>
        <v>17</v>
      </c>
      <c r="Y3">
        <f t="shared" si="0"/>
        <v>18</v>
      </c>
      <c r="Z3">
        <f t="shared" si="0"/>
        <v>19</v>
      </c>
      <c r="AA3">
        <f t="shared" si="0"/>
        <v>20</v>
      </c>
      <c r="AB3">
        <f t="shared" si="0"/>
        <v>21</v>
      </c>
      <c r="AC3">
        <f t="shared" si="0"/>
        <v>22</v>
      </c>
      <c r="AD3">
        <f t="shared" si="0"/>
        <v>23</v>
      </c>
      <c r="AE3">
        <f t="shared" si="0"/>
        <v>24</v>
      </c>
      <c r="AF3">
        <f t="shared" si="0"/>
        <v>25</v>
      </c>
      <c r="AG3">
        <f t="shared" si="0"/>
        <v>26</v>
      </c>
      <c r="AH3">
        <f t="shared" si="0"/>
        <v>27</v>
      </c>
      <c r="AI3">
        <f t="shared" si="0"/>
        <v>28</v>
      </c>
      <c r="AJ3">
        <f t="shared" si="0"/>
        <v>29</v>
      </c>
      <c r="AK3">
        <f t="shared" si="0"/>
        <v>30</v>
      </c>
      <c r="AL3">
        <f t="shared" si="0"/>
        <v>31</v>
      </c>
      <c r="AM3">
        <f t="shared" si="0"/>
        <v>32</v>
      </c>
      <c r="AN3">
        <f t="shared" si="0"/>
        <v>33</v>
      </c>
      <c r="AO3">
        <f t="shared" si="0"/>
        <v>34</v>
      </c>
      <c r="AP3">
        <f t="shared" si="0"/>
        <v>35</v>
      </c>
      <c r="AQ3">
        <f t="shared" si="0"/>
        <v>36</v>
      </c>
      <c r="AR3">
        <f t="shared" si="0"/>
        <v>37</v>
      </c>
      <c r="AS3">
        <f t="shared" si="0"/>
        <v>38</v>
      </c>
      <c r="AT3">
        <f t="shared" si="0"/>
        <v>39</v>
      </c>
      <c r="AU3">
        <f t="shared" si="0"/>
        <v>40</v>
      </c>
      <c r="AV3">
        <f t="shared" si="0"/>
        <v>41</v>
      </c>
      <c r="AW3">
        <f t="shared" si="0"/>
        <v>42</v>
      </c>
      <c r="AX3">
        <f t="shared" si="0"/>
        <v>43</v>
      </c>
      <c r="AY3">
        <f t="shared" si="0"/>
        <v>44</v>
      </c>
      <c r="AZ3">
        <f t="shared" si="0"/>
        <v>45</v>
      </c>
      <c r="BA3">
        <f t="shared" si="0"/>
        <v>46</v>
      </c>
      <c r="BB3">
        <f t="shared" si="0"/>
        <v>47</v>
      </c>
      <c r="BC3">
        <f t="shared" si="0"/>
        <v>48</v>
      </c>
      <c r="BD3">
        <f t="shared" si="0"/>
        <v>49</v>
      </c>
      <c r="BE3">
        <f t="shared" si="0"/>
        <v>50</v>
      </c>
    </row>
    <row r="4" spans="2:57" ht="15.75" thickBot="1"/>
    <row r="5" spans="2:57">
      <c r="B5" s="29" t="s">
        <v>59</v>
      </c>
      <c r="C5" s="92" t="s">
        <v>25</v>
      </c>
      <c r="D5" s="71" t="s">
        <v>26</v>
      </c>
      <c r="E5" s="72" t="s">
        <v>27</v>
      </c>
      <c r="F5" s="72" t="s">
        <v>28</v>
      </c>
      <c r="G5" s="73" t="s">
        <v>29</v>
      </c>
      <c r="H5" s="57">
        <v>2021</v>
      </c>
      <c r="I5" s="57">
        <v>2022</v>
      </c>
      <c r="J5" s="24">
        <v>2023</v>
      </c>
      <c r="K5" s="24">
        <v>2024</v>
      </c>
      <c r="L5" s="24">
        <v>2025</v>
      </c>
      <c r="M5" s="24">
        <v>2026</v>
      </c>
      <c r="N5" s="24">
        <v>2027</v>
      </c>
      <c r="O5" s="24">
        <v>2028</v>
      </c>
      <c r="P5" s="24">
        <v>2029</v>
      </c>
      <c r="Q5" s="24">
        <v>2030</v>
      </c>
      <c r="R5" s="24">
        <v>2031</v>
      </c>
      <c r="S5" s="24">
        <v>2032</v>
      </c>
      <c r="T5" s="24">
        <v>2033</v>
      </c>
      <c r="U5" s="24">
        <v>2034</v>
      </c>
      <c r="V5" s="24">
        <v>2035</v>
      </c>
      <c r="W5" s="24">
        <v>2036</v>
      </c>
      <c r="X5" s="24">
        <v>2037</v>
      </c>
      <c r="Y5" s="24">
        <v>2038</v>
      </c>
      <c r="Z5" s="24">
        <v>2039</v>
      </c>
      <c r="AA5" s="24">
        <v>2040</v>
      </c>
      <c r="AB5" s="24">
        <v>2041</v>
      </c>
      <c r="AC5" s="24">
        <v>2042</v>
      </c>
      <c r="AD5" s="24">
        <v>2043</v>
      </c>
      <c r="AE5" s="24">
        <v>2044</v>
      </c>
      <c r="AF5" s="24">
        <v>2045</v>
      </c>
      <c r="AG5" s="24">
        <v>2046</v>
      </c>
      <c r="AH5" s="24">
        <v>2047</v>
      </c>
      <c r="AI5" s="24">
        <v>2048</v>
      </c>
      <c r="AJ5" s="24">
        <v>2049</v>
      </c>
      <c r="AK5" s="24">
        <v>2050</v>
      </c>
      <c r="AL5" s="24">
        <v>2051</v>
      </c>
      <c r="AM5" s="24">
        <v>2052</v>
      </c>
      <c r="AN5" s="24">
        <v>2053</v>
      </c>
      <c r="AO5" s="24">
        <v>2054</v>
      </c>
      <c r="AP5" s="24">
        <v>2055</v>
      </c>
      <c r="AQ5" s="24">
        <v>2056</v>
      </c>
      <c r="AR5" s="24">
        <v>2057</v>
      </c>
      <c r="AS5" s="24">
        <v>2058</v>
      </c>
      <c r="AT5" s="24">
        <v>2059</v>
      </c>
      <c r="AU5" s="24">
        <v>2060</v>
      </c>
      <c r="AV5" s="24">
        <v>2061</v>
      </c>
      <c r="AW5" s="24">
        <v>2062</v>
      </c>
      <c r="AX5" s="24">
        <v>2063</v>
      </c>
      <c r="AY5" s="24">
        <v>2064</v>
      </c>
      <c r="AZ5" s="24">
        <v>2065</v>
      </c>
      <c r="BA5" s="24">
        <v>2066</v>
      </c>
      <c r="BB5" s="24">
        <v>2067</v>
      </c>
      <c r="BC5" s="24">
        <v>2068</v>
      </c>
      <c r="BD5" s="24">
        <v>2069</v>
      </c>
      <c r="BE5" s="24">
        <v>2070</v>
      </c>
    </row>
    <row r="6" spans="2:57">
      <c r="B6" s="25" t="s">
        <v>30</v>
      </c>
      <c r="C6" s="93"/>
      <c r="D6" s="74"/>
      <c r="E6" s="69"/>
      <c r="F6" s="69"/>
      <c r="G6" s="75"/>
      <c r="H6" s="58"/>
      <c r="I6" s="58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2:57">
      <c r="B7" s="65" t="s">
        <v>31</v>
      </c>
      <c r="C7" s="94">
        <f>SUM(H7:L7)</f>
        <v>22153500</v>
      </c>
      <c r="D7" s="225"/>
      <c r="E7" s="226"/>
      <c r="F7" s="226"/>
      <c r="G7" s="227"/>
      <c r="H7" s="26">
        <v>2577500</v>
      </c>
      <c r="I7" s="26">
        <v>16805500</v>
      </c>
      <c r="J7" s="26">
        <v>2170500</v>
      </c>
      <c r="K7" s="26">
        <v>300000</v>
      </c>
      <c r="L7" s="26">
        <v>300000</v>
      </c>
    </row>
    <row r="8" spans="2:57">
      <c r="B8" s="66" t="s">
        <v>32</v>
      </c>
      <c r="C8" s="94">
        <f t="shared" ref="C8:C12" si="1">SUM(H8:L8)</f>
        <v>12520000</v>
      </c>
      <c r="D8" s="225"/>
      <c r="E8" s="226"/>
      <c r="F8" s="226"/>
      <c r="G8" s="227"/>
      <c r="H8" s="26">
        <v>2940000</v>
      </c>
      <c r="I8" s="26">
        <v>8615000</v>
      </c>
      <c r="J8" s="26">
        <v>965000</v>
      </c>
      <c r="K8" s="26">
        <v>0</v>
      </c>
      <c r="L8" s="26">
        <v>0</v>
      </c>
    </row>
    <row r="9" spans="2:57">
      <c r="B9" s="66" t="s">
        <v>33</v>
      </c>
      <c r="C9" s="94">
        <f t="shared" si="1"/>
        <v>11636000</v>
      </c>
      <c r="D9" s="225"/>
      <c r="E9" s="226"/>
      <c r="F9" s="226"/>
      <c r="G9" s="227"/>
      <c r="H9" s="26">
        <v>3484000</v>
      </c>
      <c r="I9" s="26">
        <v>4270000</v>
      </c>
      <c r="J9" s="26">
        <v>1736000</v>
      </c>
      <c r="K9" s="26">
        <v>1123000</v>
      </c>
      <c r="L9" s="26">
        <v>1023000</v>
      </c>
    </row>
    <row r="10" spans="2:57">
      <c r="B10" s="66" t="s">
        <v>34</v>
      </c>
      <c r="C10" s="94">
        <f t="shared" si="1"/>
        <v>5837000</v>
      </c>
      <c r="D10" s="225"/>
      <c r="E10" s="226"/>
      <c r="F10" s="226"/>
      <c r="G10" s="227"/>
      <c r="H10" s="26">
        <v>1085000</v>
      </c>
      <c r="I10" s="26">
        <v>1135000</v>
      </c>
      <c r="J10" s="26">
        <v>2213000</v>
      </c>
      <c r="K10" s="26">
        <v>702000</v>
      </c>
      <c r="L10" s="26">
        <v>702000</v>
      </c>
    </row>
    <row r="11" spans="2:57">
      <c r="B11" s="65" t="s">
        <v>35</v>
      </c>
      <c r="C11" s="94">
        <f t="shared" si="1"/>
        <v>7930000</v>
      </c>
      <c r="D11" s="225"/>
      <c r="E11" s="226"/>
      <c r="F11" s="226"/>
      <c r="G11" s="227"/>
      <c r="H11" s="26">
        <v>1690000</v>
      </c>
      <c r="I11" s="26">
        <v>3165000</v>
      </c>
      <c r="J11" s="26">
        <v>1575000</v>
      </c>
      <c r="K11" s="26">
        <v>1200000</v>
      </c>
      <c r="L11" s="26">
        <v>300000</v>
      </c>
    </row>
    <row r="12" spans="2:57">
      <c r="B12" s="66" t="s">
        <v>36</v>
      </c>
      <c r="C12" s="94">
        <f t="shared" si="1"/>
        <v>9990000</v>
      </c>
      <c r="D12" s="225"/>
      <c r="E12" s="226"/>
      <c r="F12" s="226"/>
      <c r="G12" s="227"/>
      <c r="H12" s="26">
        <v>2000000</v>
      </c>
      <c r="I12" s="26">
        <v>3350000</v>
      </c>
      <c r="J12" s="26">
        <v>3380000</v>
      </c>
      <c r="K12" s="26">
        <v>1180000</v>
      </c>
      <c r="L12" s="26">
        <v>80000</v>
      </c>
    </row>
    <row r="13" spans="2:57">
      <c r="B13" s="67" t="s">
        <v>37</v>
      </c>
      <c r="C13" s="95">
        <f>SUM(C7:C12)</f>
        <v>70066500</v>
      </c>
      <c r="D13" s="76"/>
      <c r="E13" s="70"/>
      <c r="F13" s="70"/>
      <c r="G13" s="77"/>
      <c r="H13" s="59">
        <f t="shared" ref="H13:L13" si="2">SUM(H7:H12)</f>
        <v>13776500</v>
      </c>
      <c r="I13" s="59">
        <f t="shared" si="2"/>
        <v>37340500</v>
      </c>
      <c r="J13" s="27">
        <f t="shared" si="2"/>
        <v>12039500</v>
      </c>
      <c r="K13" s="27">
        <f t="shared" si="2"/>
        <v>4505000</v>
      </c>
      <c r="L13" s="27">
        <f t="shared" si="2"/>
        <v>2405000</v>
      </c>
      <c r="M13" s="27">
        <f>SUM(M7:M12)</f>
        <v>0</v>
      </c>
      <c r="N13" s="27">
        <f t="shared" ref="N13:BE13" si="3">SUM(N7:N12)</f>
        <v>0</v>
      </c>
      <c r="O13" s="27">
        <f t="shared" si="3"/>
        <v>0</v>
      </c>
      <c r="P13" s="27">
        <f t="shared" si="3"/>
        <v>0</v>
      </c>
      <c r="Q13" s="27">
        <f t="shared" si="3"/>
        <v>0</v>
      </c>
      <c r="R13" s="27">
        <f t="shared" si="3"/>
        <v>0</v>
      </c>
      <c r="S13" s="27">
        <f t="shared" si="3"/>
        <v>0</v>
      </c>
      <c r="T13" s="27">
        <f t="shared" si="3"/>
        <v>0</v>
      </c>
      <c r="U13" s="27">
        <f t="shared" si="3"/>
        <v>0</v>
      </c>
      <c r="V13" s="27">
        <f t="shared" si="3"/>
        <v>0</v>
      </c>
      <c r="W13" s="27">
        <f t="shared" si="3"/>
        <v>0</v>
      </c>
      <c r="X13" s="27">
        <f t="shared" si="3"/>
        <v>0</v>
      </c>
      <c r="Y13" s="27">
        <f t="shared" si="3"/>
        <v>0</v>
      </c>
      <c r="Z13" s="27">
        <f t="shared" si="3"/>
        <v>0</v>
      </c>
      <c r="AA13" s="27">
        <f t="shared" si="3"/>
        <v>0</v>
      </c>
      <c r="AB13" s="27">
        <f t="shared" si="3"/>
        <v>0</v>
      </c>
      <c r="AC13" s="27">
        <f t="shared" si="3"/>
        <v>0</v>
      </c>
      <c r="AD13" s="27">
        <f t="shared" si="3"/>
        <v>0</v>
      </c>
      <c r="AE13" s="27">
        <f t="shared" si="3"/>
        <v>0</v>
      </c>
      <c r="AF13" s="27">
        <f t="shared" si="3"/>
        <v>0</v>
      </c>
      <c r="AG13" s="27">
        <f t="shared" si="3"/>
        <v>0</v>
      </c>
      <c r="AH13" s="27">
        <f t="shared" si="3"/>
        <v>0</v>
      </c>
      <c r="AI13" s="27">
        <f t="shared" si="3"/>
        <v>0</v>
      </c>
      <c r="AJ13" s="27">
        <f t="shared" si="3"/>
        <v>0</v>
      </c>
      <c r="AK13" s="27">
        <f t="shared" si="3"/>
        <v>0</v>
      </c>
      <c r="AL13" s="27">
        <f t="shared" si="3"/>
        <v>0</v>
      </c>
      <c r="AM13" s="27">
        <f t="shared" si="3"/>
        <v>0</v>
      </c>
      <c r="AN13" s="27">
        <f t="shared" si="3"/>
        <v>0</v>
      </c>
      <c r="AO13" s="27">
        <f t="shared" si="3"/>
        <v>0</v>
      </c>
      <c r="AP13" s="27">
        <f t="shared" si="3"/>
        <v>0</v>
      </c>
      <c r="AQ13" s="27">
        <f t="shared" si="3"/>
        <v>0</v>
      </c>
      <c r="AR13" s="27">
        <f t="shared" si="3"/>
        <v>0</v>
      </c>
      <c r="AS13" s="27">
        <f t="shared" si="3"/>
        <v>0</v>
      </c>
      <c r="AT13" s="27">
        <f t="shared" si="3"/>
        <v>0</v>
      </c>
      <c r="AU13" s="27">
        <f t="shared" si="3"/>
        <v>0</v>
      </c>
      <c r="AV13" s="27">
        <f t="shared" si="3"/>
        <v>0</v>
      </c>
      <c r="AW13" s="27">
        <f t="shared" si="3"/>
        <v>0</v>
      </c>
      <c r="AX13" s="27">
        <f t="shared" si="3"/>
        <v>0</v>
      </c>
      <c r="AY13" s="27">
        <f t="shared" si="3"/>
        <v>0</v>
      </c>
      <c r="AZ13" s="27">
        <f t="shared" si="3"/>
        <v>0</v>
      </c>
      <c r="BA13" s="27">
        <f t="shared" si="3"/>
        <v>0</v>
      </c>
      <c r="BB13" s="27">
        <f t="shared" si="3"/>
        <v>0</v>
      </c>
      <c r="BC13" s="27">
        <f t="shared" si="3"/>
        <v>0</v>
      </c>
      <c r="BD13" s="27">
        <f t="shared" si="3"/>
        <v>0</v>
      </c>
      <c r="BE13" s="27">
        <f t="shared" si="3"/>
        <v>0</v>
      </c>
    </row>
    <row r="14" spans="2:57">
      <c r="B14" s="68"/>
      <c r="C14" s="96"/>
      <c r="D14" s="60"/>
      <c r="E14" s="61"/>
      <c r="F14" s="61"/>
      <c r="G14" s="78"/>
      <c r="H14" s="28"/>
      <c r="I14" s="28"/>
      <c r="J14" s="28"/>
      <c r="K14" s="28"/>
      <c r="L14" s="28"/>
    </row>
    <row r="15" spans="2:57">
      <c r="B15" s="10" t="s">
        <v>38</v>
      </c>
      <c r="C15" s="97"/>
      <c r="D15" s="74"/>
      <c r="E15" s="69"/>
      <c r="F15" s="69"/>
      <c r="G15" s="75"/>
      <c r="H15" s="58"/>
      <c r="I15" s="58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2:57" ht="30">
      <c r="B16" s="65" t="s">
        <v>96</v>
      </c>
      <c r="C16" s="94">
        <f t="shared" ref="C16" si="4">SUM(H16:L16)</f>
        <v>7994000</v>
      </c>
      <c r="D16" s="225"/>
      <c r="E16" s="226"/>
      <c r="F16" s="228"/>
      <c r="G16" s="227"/>
      <c r="H16" s="91">
        <v>0</v>
      </c>
      <c r="I16" s="91">
        <v>470000</v>
      </c>
      <c r="J16" s="26">
        <v>2334000</v>
      </c>
      <c r="K16" s="26">
        <v>2581000</v>
      </c>
      <c r="L16" s="26">
        <v>2609000</v>
      </c>
      <c r="M16" s="26">
        <f>L16</f>
        <v>2609000</v>
      </c>
      <c r="N16" s="26">
        <f>M16</f>
        <v>2609000</v>
      </c>
      <c r="O16" s="26">
        <f t="shared" ref="O16:BE16" si="5">N16</f>
        <v>2609000</v>
      </c>
      <c r="P16" s="26">
        <f t="shared" si="5"/>
        <v>2609000</v>
      </c>
      <c r="Q16" s="26">
        <f t="shared" si="5"/>
        <v>2609000</v>
      </c>
      <c r="R16" s="26">
        <f t="shared" si="5"/>
        <v>2609000</v>
      </c>
      <c r="S16" s="26">
        <f t="shared" si="5"/>
        <v>2609000</v>
      </c>
      <c r="T16" s="26">
        <f t="shared" si="5"/>
        <v>2609000</v>
      </c>
      <c r="U16" s="26">
        <f t="shared" si="5"/>
        <v>2609000</v>
      </c>
      <c r="V16" s="26">
        <f t="shared" si="5"/>
        <v>2609000</v>
      </c>
      <c r="W16" s="26">
        <f t="shared" si="5"/>
        <v>2609000</v>
      </c>
      <c r="X16" s="26">
        <f t="shared" si="5"/>
        <v>2609000</v>
      </c>
      <c r="Y16" s="26">
        <f t="shared" si="5"/>
        <v>2609000</v>
      </c>
      <c r="Z16" s="26">
        <f t="shared" si="5"/>
        <v>2609000</v>
      </c>
      <c r="AA16" s="26">
        <f t="shared" si="5"/>
        <v>2609000</v>
      </c>
      <c r="AB16" s="26">
        <f t="shared" si="5"/>
        <v>2609000</v>
      </c>
      <c r="AC16" s="26">
        <f t="shared" si="5"/>
        <v>2609000</v>
      </c>
      <c r="AD16" s="26">
        <f t="shared" si="5"/>
        <v>2609000</v>
      </c>
      <c r="AE16" s="26">
        <f t="shared" si="5"/>
        <v>2609000</v>
      </c>
      <c r="AF16" s="26">
        <f t="shared" si="5"/>
        <v>2609000</v>
      </c>
      <c r="AG16" s="26">
        <f t="shared" si="5"/>
        <v>2609000</v>
      </c>
      <c r="AH16" s="26">
        <f t="shared" si="5"/>
        <v>2609000</v>
      </c>
      <c r="AI16" s="26">
        <f t="shared" si="5"/>
        <v>2609000</v>
      </c>
      <c r="AJ16" s="26">
        <f t="shared" si="5"/>
        <v>2609000</v>
      </c>
      <c r="AK16" s="26">
        <f t="shared" si="5"/>
        <v>2609000</v>
      </c>
      <c r="AL16" s="26">
        <f t="shared" si="5"/>
        <v>2609000</v>
      </c>
      <c r="AM16" s="26">
        <f t="shared" si="5"/>
        <v>2609000</v>
      </c>
      <c r="AN16" s="26">
        <f t="shared" si="5"/>
        <v>2609000</v>
      </c>
      <c r="AO16" s="26">
        <f t="shared" si="5"/>
        <v>2609000</v>
      </c>
      <c r="AP16" s="26">
        <f t="shared" si="5"/>
        <v>2609000</v>
      </c>
      <c r="AQ16" s="26">
        <f t="shared" si="5"/>
        <v>2609000</v>
      </c>
      <c r="AR16" s="26">
        <f t="shared" si="5"/>
        <v>2609000</v>
      </c>
      <c r="AS16" s="26">
        <f t="shared" si="5"/>
        <v>2609000</v>
      </c>
      <c r="AT16" s="26">
        <f t="shared" si="5"/>
        <v>2609000</v>
      </c>
      <c r="AU16" s="26">
        <f t="shared" si="5"/>
        <v>2609000</v>
      </c>
      <c r="AV16" s="26">
        <f t="shared" si="5"/>
        <v>2609000</v>
      </c>
      <c r="AW16" s="26">
        <f t="shared" si="5"/>
        <v>2609000</v>
      </c>
      <c r="AX16" s="26">
        <f t="shared" si="5"/>
        <v>2609000</v>
      </c>
      <c r="AY16" s="26">
        <f t="shared" si="5"/>
        <v>2609000</v>
      </c>
      <c r="AZ16" s="26">
        <f t="shared" si="5"/>
        <v>2609000</v>
      </c>
      <c r="BA16" s="26">
        <f t="shared" si="5"/>
        <v>2609000</v>
      </c>
      <c r="BB16" s="26">
        <f t="shared" si="5"/>
        <v>2609000</v>
      </c>
      <c r="BC16" s="26">
        <f t="shared" si="5"/>
        <v>2609000</v>
      </c>
      <c r="BD16" s="26">
        <f t="shared" si="5"/>
        <v>2609000</v>
      </c>
      <c r="BE16" s="26">
        <f t="shared" si="5"/>
        <v>2609000</v>
      </c>
    </row>
    <row r="17" spans="2:57">
      <c r="B17" s="65"/>
      <c r="C17" s="94"/>
      <c r="D17" s="225"/>
      <c r="E17" s="226"/>
      <c r="F17" s="226"/>
      <c r="G17" s="227"/>
      <c r="H17" s="26"/>
      <c r="I17" s="26"/>
      <c r="J17" s="26"/>
      <c r="K17" s="26"/>
      <c r="L17" s="26"/>
      <c r="M17" s="26"/>
    </row>
    <row r="18" spans="2:57">
      <c r="B18" s="99" t="s">
        <v>37</v>
      </c>
      <c r="C18" s="95">
        <f>C16</f>
        <v>7994000</v>
      </c>
      <c r="D18" s="76"/>
      <c r="E18" s="70"/>
      <c r="F18" s="70"/>
      <c r="G18" s="77"/>
      <c r="H18" s="59">
        <f>H17+H16</f>
        <v>0</v>
      </c>
      <c r="I18" s="59">
        <f t="shared" ref="I18:L18" si="6">I17+I16</f>
        <v>470000</v>
      </c>
      <c r="J18" s="27">
        <f t="shared" si="6"/>
        <v>2334000</v>
      </c>
      <c r="K18" s="27">
        <f t="shared" si="6"/>
        <v>2581000</v>
      </c>
      <c r="L18" s="27">
        <f t="shared" si="6"/>
        <v>2609000</v>
      </c>
      <c r="M18" s="27">
        <f>SUM(M16:M17)</f>
        <v>2609000</v>
      </c>
      <c r="N18" s="27">
        <f t="shared" ref="N18:BE18" si="7">SUM(N16:N17)</f>
        <v>2609000</v>
      </c>
      <c r="O18" s="27">
        <f t="shared" si="7"/>
        <v>2609000</v>
      </c>
      <c r="P18" s="27">
        <f t="shared" si="7"/>
        <v>2609000</v>
      </c>
      <c r="Q18" s="27">
        <f t="shared" si="7"/>
        <v>2609000</v>
      </c>
      <c r="R18" s="27">
        <f t="shared" si="7"/>
        <v>2609000</v>
      </c>
      <c r="S18" s="27">
        <f t="shared" si="7"/>
        <v>2609000</v>
      </c>
      <c r="T18" s="27">
        <f t="shared" si="7"/>
        <v>2609000</v>
      </c>
      <c r="U18" s="27">
        <f t="shared" si="7"/>
        <v>2609000</v>
      </c>
      <c r="V18" s="27">
        <f t="shared" si="7"/>
        <v>2609000</v>
      </c>
      <c r="W18" s="27">
        <f t="shared" si="7"/>
        <v>2609000</v>
      </c>
      <c r="X18" s="27">
        <f t="shared" si="7"/>
        <v>2609000</v>
      </c>
      <c r="Y18" s="27">
        <f t="shared" si="7"/>
        <v>2609000</v>
      </c>
      <c r="Z18" s="27">
        <f t="shared" si="7"/>
        <v>2609000</v>
      </c>
      <c r="AA18" s="27">
        <f t="shared" si="7"/>
        <v>2609000</v>
      </c>
      <c r="AB18" s="27">
        <f t="shared" si="7"/>
        <v>2609000</v>
      </c>
      <c r="AC18" s="27">
        <f t="shared" si="7"/>
        <v>2609000</v>
      </c>
      <c r="AD18" s="27">
        <f t="shared" si="7"/>
        <v>2609000</v>
      </c>
      <c r="AE18" s="27">
        <f t="shared" si="7"/>
        <v>2609000</v>
      </c>
      <c r="AF18" s="27">
        <f t="shared" si="7"/>
        <v>2609000</v>
      </c>
      <c r="AG18" s="27">
        <f t="shared" si="7"/>
        <v>2609000</v>
      </c>
      <c r="AH18" s="27">
        <f t="shared" si="7"/>
        <v>2609000</v>
      </c>
      <c r="AI18" s="27">
        <f t="shared" si="7"/>
        <v>2609000</v>
      </c>
      <c r="AJ18" s="27">
        <f t="shared" si="7"/>
        <v>2609000</v>
      </c>
      <c r="AK18" s="27">
        <f t="shared" si="7"/>
        <v>2609000</v>
      </c>
      <c r="AL18" s="27">
        <f t="shared" si="7"/>
        <v>2609000</v>
      </c>
      <c r="AM18" s="27">
        <f t="shared" si="7"/>
        <v>2609000</v>
      </c>
      <c r="AN18" s="27">
        <f t="shared" si="7"/>
        <v>2609000</v>
      </c>
      <c r="AO18" s="27">
        <f t="shared" si="7"/>
        <v>2609000</v>
      </c>
      <c r="AP18" s="27">
        <f t="shared" si="7"/>
        <v>2609000</v>
      </c>
      <c r="AQ18" s="27">
        <f t="shared" si="7"/>
        <v>2609000</v>
      </c>
      <c r="AR18" s="27">
        <f t="shared" si="7"/>
        <v>2609000</v>
      </c>
      <c r="AS18" s="27">
        <f t="shared" si="7"/>
        <v>2609000</v>
      </c>
      <c r="AT18" s="27">
        <f t="shared" si="7"/>
        <v>2609000</v>
      </c>
      <c r="AU18" s="27">
        <f t="shared" si="7"/>
        <v>2609000</v>
      </c>
      <c r="AV18" s="27">
        <f t="shared" si="7"/>
        <v>2609000</v>
      </c>
      <c r="AW18" s="27">
        <f t="shared" si="7"/>
        <v>2609000</v>
      </c>
      <c r="AX18" s="27">
        <f t="shared" si="7"/>
        <v>2609000</v>
      </c>
      <c r="AY18" s="27">
        <f t="shared" si="7"/>
        <v>2609000</v>
      </c>
      <c r="AZ18" s="27">
        <f t="shared" si="7"/>
        <v>2609000</v>
      </c>
      <c r="BA18" s="27">
        <f t="shared" si="7"/>
        <v>2609000</v>
      </c>
      <c r="BB18" s="27">
        <f t="shared" si="7"/>
        <v>2609000</v>
      </c>
      <c r="BC18" s="27">
        <f t="shared" si="7"/>
        <v>2609000</v>
      </c>
      <c r="BD18" s="27">
        <f t="shared" si="7"/>
        <v>2609000</v>
      </c>
      <c r="BE18" s="27">
        <f t="shared" si="7"/>
        <v>2609000</v>
      </c>
    </row>
    <row r="19" spans="2:57" ht="15.75" thickBot="1">
      <c r="B19" s="68"/>
      <c r="C19" s="229"/>
      <c r="D19" s="60"/>
      <c r="E19" s="61"/>
      <c r="F19" s="61"/>
      <c r="G19" s="78"/>
      <c r="H19" s="28"/>
      <c r="I19" s="28"/>
      <c r="J19" s="28"/>
      <c r="K19" s="28"/>
      <c r="L19" s="28"/>
    </row>
    <row r="20" spans="2:57" s="54" customFormat="1" ht="15.75" thickBot="1">
      <c r="B20" s="25" t="s">
        <v>57</v>
      </c>
      <c r="C20" s="98">
        <f>C18+C13</f>
        <v>78060500</v>
      </c>
      <c r="D20" s="62">
        <f t="shared" ref="D20:BE20" si="8">D18+D13</f>
        <v>0</v>
      </c>
      <c r="E20" s="63">
        <f t="shared" si="8"/>
        <v>0</v>
      </c>
      <c r="F20" s="63">
        <f t="shared" si="8"/>
        <v>0</v>
      </c>
      <c r="G20" s="64">
        <f t="shared" si="8"/>
        <v>0</v>
      </c>
      <c r="H20" s="53">
        <f t="shared" si="8"/>
        <v>13776500</v>
      </c>
      <c r="I20" s="53">
        <f t="shared" si="8"/>
        <v>37810500</v>
      </c>
      <c r="J20" s="53">
        <f t="shared" si="8"/>
        <v>14373500</v>
      </c>
      <c r="K20" s="53">
        <f t="shared" si="8"/>
        <v>7086000</v>
      </c>
      <c r="L20" s="53">
        <f t="shared" si="8"/>
        <v>5014000</v>
      </c>
      <c r="M20" s="53">
        <f t="shared" si="8"/>
        <v>2609000</v>
      </c>
      <c r="N20" s="53">
        <f t="shared" si="8"/>
        <v>2609000</v>
      </c>
      <c r="O20" s="53">
        <f t="shared" si="8"/>
        <v>2609000</v>
      </c>
      <c r="P20" s="53">
        <f t="shared" si="8"/>
        <v>2609000</v>
      </c>
      <c r="Q20" s="53">
        <f t="shared" si="8"/>
        <v>2609000</v>
      </c>
      <c r="R20" s="53">
        <f t="shared" si="8"/>
        <v>2609000</v>
      </c>
      <c r="S20" s="53">
        <f t="shared" si="8"/>
        <v>2609000</v>
      </c>
      <c r="T20" s="53">
        <f t="shared" si="8"/>
        <v>2609000</v>
      </c>
      <c r="U20" s="53">
        <f t="shared" si="8"/>
        <v>2609000</v>
      </c>
      <c r="V20" s="53">
        <f t="shared" si="8"/>
        <v>2609000</v>
      </c>
      <c r="W20" s="53">
        <f t="shared" si="8"/>
        <v>2609000</v>
      </c>
      <c r="X20" s="53">
        <f t="shared" si="8"/>
        <v>2609000</v>
      </c>
      <c r="Y20" s="53">
        <f t="shared" si="8"/>
        <v>2609000</v>
      </c>
      <c r="Z20" s="53">
        <f t="shared" si="8"/>
        <v>2609000</v>
      </c>
      <c r="AA20" s="53">
        <f t="shared" si="8"/>
        <v>2609000</v>
      </c>
      <c r="AB20" s="53">
        <f t="shared" si="8"/>
        <v>2609000</v>
      </c>
      <c r="AC20" s="53">
        <f t="shared" si="8"/>
        <v>2609000</v>
      </c>
      <c r="AD20" s="53">
        <f t="shared" si="8"/>
        <v>2609000</v>
      </c>
      <c r="AE20" s="53">
        <f t="shared" si="8"/>
        <v>2609000</v>
      </c>
      <c r="AF20" s="53">
        <f t="shared" si="8"/>
        <v>2609000</v>
      </c>
      <c r="AG20" s="53">
        <f t="shared" si="8"/>
        <v>2609000</v>
      </c>
      <c r="AH20" s="53">
        <f t="shared" si="8"/>
        <v>2609000</v>
      </c>
      <c r="AI20" s="53">
        <f t="shared" si="8"/>
        <v>2609000</v>
      </c>
      <c r="AJ20" s="53">
        <f t="shared" si="8"/>
        <v>2609000</v>
      </c>
      <c r="AK20" s="53">
        <f t="shared" si="8"/>
        <v>2609000</v>
      </c>
      <c r="AL20" s="53">
        <f t="shared" si="8"/>
        <v>2609000</v>
      </c>
      <c r="AM20" s="53">
        <f t="shared" si="8"/>
        <v>2609000</v>
      </c>
      <c r="AN20" s="53">
        <f t="shared" si="8"/>
        <v>2609000</v>
      </c>
      <c r="AO20" s="53">
        <f t="shared" si="8"/>
        <v>2609000</v>
      </c>
      <c r="AP20" s="53">
        <f t="shared" si="8"/>
        <v>2609000</v>
      </c>
      <c r="AQ20" s="53">
        <f t="shared" si="8"/>
        <v>2609000</v>
      </c>
      <c r="AR20" s="53">
        <f t="shared" si="8"/>
        <v>2609000</v>
      </c>
      <c r="AS20" s="53">
        <f t="shared" si="8"/>
        <v>2609000</v>
      </c>
      <c r="AT20" s="53">
        <f t="shared" si="8"/>
        <v>2609000</v>
      </c>
      <c r="AU20" s="53">
        <f t="shared" si="8"/>
        <v>2609000</v>
      </c>
      <c r="AV20" s="53">
        <f t="shared" si="8"/>
        <v>2609000</v>
      </c>
      <c r="AW20" s="53">
        <f t="shared" si="8"/>
        <v>2609000</v>
      </c>
      <c r="AX20" s="53">
        <f t="shared" si="8"/>
        <v>2609000</v>
      </c>
      <c r="AY20" s="53">
        <f t="shared" si="8"/>
        <v>2609000</v>
      </c>
      <c r="AZ20" s="53">
        <f t="shared" si="8"/>
        <v>2609000</v>
      </c>
      <c r="BA20" s="53">
        <f t="shared" si="8"/>
        <v>2609000</v>
      </c>
      <c r="BB20" s="53">
        <f t="shared" si="8"/>
        <v>2609000</v>
      </c>
      <c r="BC20" s="53">
        <f t="shared" si="8"/>
        <v>2609000</v>
      </c>
      <c r="BD20" s="53">
        <f t="shared" si="8"/>
        <v>2609000</v>
      </c>
      <c r="BE20" s="53">
        <f t="shared" si="8"/>
        <v>2609000</v>
      </c>
    </row>
    <row r="21" spans="2:57" ht="15.75" thickBot="1"/>
    <row r="22" spans="2:57">
      <c r="B22" s="29" t="s">
        <v>60</v>
      </c>
      <c r="C22" s="92" t="str">
        <f t="shared" ref="C22:AH22" si="9">C5</f>
        <v>TOTAL</v>
      </c>
      <c r="D22" s="173" t="str">
        <f t="shared" si="9"/>
        <v>AFD</v>
      </c>
      <c r="E22" s="174" t="str">
        <f t="shared" si="9"/>
        <v>EU</v>
      </c>
      <c r="F22" s="174" t="str">
        <f t="shared" si="9"/>
        <v>GCF</v>
      </c>
      <c r="G22" s="175" t="str">
        <f t="shared" si="9"/>
        <v>GVNT</v>
      </c>
      <c r="H22" s="57">
        <f t="shared" si="9"/>
        <v>2021</v>
      </c>
      <c r="I22" s="24">
        <f t="shared" si="9"/>
        <v>2022</v>
      </c>
      <c r="J22" s="24">
        <f t="shared" si="9"/>
        <v>2023</v>
      </c>
      <c r="K22" s="24">
        <f t="shared" si="9"/>
        <v>2024</v>
      </c>
      <c r="L22" s="24">
        <f t="shared" si="9"/>
        <v>2025</v>
      </c>
      <c r="M22" s="24">
        <f t="shared" si="9"/>
        <v>2026</v>
      </c>
      <c r="N22" s="24">
        <f t="shared" si="9"/>
        <v>2027</v>
      </c>
      <c r="O22" s="24">
        <f t="shared" si="9"/>
        <v>2028</v>
      </c>
      <c r="P22" s="24">
        <f t="shared" si="9"/>
        <v>2029</v>
      </c>
      <c r="Q22" s="24">
        <f t="shared" si="9"/>
        <v>2030</v>
      </c>
      <c r="R22" s="24">
        <f t="shared" si="9"/>
        <v>2031</v>
      </c>
      <c r="S22" s="24">
        <f t="shared" si="9"/>
        <v>2032</v>
      </c>
      <c r="T22" s="24">
        <f t="shared" si="9"/>
        <v>2033</v>
      </c>
      <c r="U22" s="24">
        <f t="shared" si="9"/>
        <v>2034</v>
      </c>
      <c r="V22" s="24">
        <f t="shared" si="9"/>
        <v>2035</v>
      </c>
      <c r="W22" s="24">
        <f t="shared" si="9"/>
        <v>2036</v>
      </c>
      <c r="X22" s="24">
        <f t="shared" si="9"/>
        <v>2037</v>
      </c>
      <c r="Y22" s="24">
        <f t="shared" si="9"/>
        <v>2038</v>
      </c>
      <c r="Z22" s="24">
        <f t="shared" si="9"/>
        <v>2039</v>
      </c>
      <c r="AA22" s="24">
        <f t="shared" si="9"/>
        <v>2040</v>
      </c>
      <c r="AB22" s="24">
        <f t="shared" si="9"/>
        <v>2041</v>
      </c>
      <c r="AC22" s="24">
        <f t="shared" si="9"/>
        <v>2042</v>
      </c>
      <c r="AD22" s="24">
        <f t="shared" si="9"/>
        <v>2043</v>
      </c>
      <c r="AE22" s="24">
        <f t="shared" si="9"/>
        <v>2044</v>
      </c>
      <c r="AF22" s="24">
        <f t="shared" si="9"/>
        <v>2045</v>
      </c>
      <c r="AG22" s="24">
        <f t="shared" si="9"/>
        <v>2046</v>
      </c>
      <c r="AH22" s="24">
        <f t="shared" si="9"/>
        <v>2047</v>
      </c>
      <c r="AI22" s="24">
        <f t="shared" ref="AI22:BE22" si="10">AI5</f>
        <v>2048</v>
      </c>
      <c r="AJ22" s="24">
        <f t="shared" si="10"/>
        <v>2049</v>
      </c>
      <c r="AK22" s="24">
        <f t="shared" si="10"/>
        <v>2050</v>
      </c>
      <c r="AL22" s="24">
        <f t="shared" si="10"/>
        <v>2051</v>
      </c>
      <c r="AM22" s="24">
        <f t="shared" si="10"/>
        <v>2052</v>
      </c>
      <c r="AN22" s="24">
        <f t="shared" si="10"/>
        <v>2053</v>
      </c>
      <c r="AO22" s="24">
        <f t="shared" si="10"/>
        <v>2054</v>
      </c>
      <c r="AP22" s="24">
        <f t="shared" si="10"/>
        <v>2055</v>
      </c>
      <c r="AQ22" s="24">
        <f t="shared" si="10"/>
        <v>2056</v>
      </c>
      <c r="AR22" s="24">
        <f t="shared" si="10"/>
        <v>2057</v>
      </c>
      <c r="AS22" s="24">
        <f t="shared" si="10"/>
        <v>2058</v>
      </c>
      <c r="AT22" s="24">
        <f t="shared" si="10"/>
        <v>2059</v>
      </c>
      <c r="AU22" s="24">
        <f t="shared" si="10"/>
        <v>2060</v>
      </c>
      <c r="AV22" s="24">
        <f t="shared" si="10"/>
        <v>2061</v>
      </c>
      <c r="AW22" s="24">
        <f t="shared" si="10"/>
        <v>2062</v>
      </c>
      <c r="AX22" s="24">
        <f t="shared" si="10"/>
        <v>2063</v>
      </c>
      <c r="AY22" s="24">
        <f t="shared" si="10"/>
        <v>2064</v>
      </c>
      <c r="AZ22" s="24">
        <f t="shared" si="10"/>
        <v>2065</v>
      </c>
      <c r="BA22" s="24">
        <f t="shared" si="10"/>
        <v>2066</v>
      </c>
      <c r="BB22" s="24">
        <f t="shared" si="10"/>
        <v>2067</v>
      </c>
      <c r="BC22" s="24">
        <f t="shared" si="10"/>
        <v>2068</v>
      </c>
      <c r="BD22" s="24">
        <f t="shared" si="10"/>
        <v>2069</v>
      </c>
      <c r="BE22" s="24">
        <f t="shared" si="10"/>
        <v>2070</v>
      </c>
    </row>
    <row r="23" spans="2:57">
      <c r="B23" s="23" t="s">
        <v>55</v>
      </c>
      <c r="C23" s="113"/>
      <c r="D23" s="176"/>
      <c r="E23" s="177"/>
      <c r="F23" s="177"/>
      <c r="G23" s="178"/>
      <c r="H23" s="109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2:57">
      <c r="B24" s="49" t="s">
        <v>9</v>
      </c>
      <c r="C24" s="111"/>
      <c r="D24" s="136"/>
      <c r="E24" s="138"/>
      <c r="F24" s="138"/>
      <c r="G24" s="137"/>
      <c r="M24" s="46">
        <f>SUM('2-Bénéfices SAP'!D43:D44)</f>
        <v>7343195.8540000003</v>
      </c>
      <c r="N24" s="26">
        <f t="shared" ref="N24:AC32" si="11">M24</f>
        <v>7343195.8540000003</v>
      </c>
      <c r="O24" s="26">
        <f t="shared" si="11"/>
        <v>7343195.8540000003</v>
      </c>
      <c r="P24" s="26">
        <f t="shared" si="11"/>
        <v>7343195.8540000003</v>
      </c>
      <c r="Q24" s="26">
        <f t="shared" si="11"/>
        <v>7343195.8540000003</v>
      </c>
      <c r="R24" s="26">
        <f t="shared" si="11"/>
        <v>7343195.8540000003</v>
      </c>
      <c r="S24" s="26">
        <f t="shared" si="11"/>
        <v>7343195.8540000003</v>
      </c>
      <c r="T24" s="26">
        <f t="shared" si="11"/>
        <v>7343195.8540000003</v>
      </c>
      <c r="U24" s="26">
        <f t="shared" si="11"/>
        <v>7343195.8540000003</v>
      </c>
      <c r="V24" s="26">
        <f t="shared" si="11"/>
        <v>7343195.8540000003</v>
      </c>
      <c r="W24" s="26">
        <f t="shared" si="11"/>
        <v>7343195.8540000003</v>
      </c>
      <c r="X24" s="26">
        <f t="shared" si="11"/>
        <v>7343195.8540000003</v>
      </c>
      <c r="Y24" s="26">
        <f t="shared" si="11"/>
        <v>7343195.8540000003</v>
      </c>
      <c r="Z24" s="26">
        <f t="shared" si="11"/>
        <v>7343195.8540000003</v>
      </c>
      <c r="AA24" s="26">
        <f t="shared" si="11"/>
        <v>7343195.8540000003</v>
      </c>
      <c r="AB24" s="26">
        <f t="shared" si="11"/>
        <v>7343195.8540000003</v>
      </c>
      <c r="AC24" s="26">
        <f t="shared" si="11"/>
        <v>7343195.8540000003</v>
      </c>
      <c r="AD24" s="26">
        <f t="shared" ref="O24:BE31" si="12">AC24</f>
        <v>7343195.8540000003</v>
      </c>
      <c r="AE24" s="26">
        <f t="shared" si="12"/>
        <v>7343195.8540000003</v>
      </c>
      <c r="AF24" s="26">
        <f t="shared" si="12"/>
        <v>7343195.8540000003</v>
      </c>
      <c r="AG24" s="26">
        <f t="shared" si="12"/>
        <v>7343195.8540000003</v>
      </c>
      <c r="AH24" s="26">
        <f t="shared" si="12"/>
        <v>7343195.8540000003</v>
      </c>
      <c r="AI24" s="26">
        <f t="shared" si="12"/>
        <v>7343195.8540000003</v>
      </c>
      <c r="AJ24" s="26">
        <f t="shared" si="12"/>
        <v>7343195.8540000003</v>
      </c>
      <c r="AK24" s="26">
        <f t="shared" si="12"/>
        <v>7343195.8540000003</v>
      </c>
      <c r="AL24" s="26">
        <f t="shared" si="12"/>
        <v>7343195.8540000003</v>
      </c>
      <c r="AM24" s="26">
        <f t="shared" si="12"/>
        <v>7343195.8540000003</v>
      </c>
      <c r="AN24" s="26">
        <f t="shared" si="12"/>
        <v>7343195.8540000003</v>
      </c>
      <c r="AO24" s="26">
        <f t="shared" si="12"/>
        <v>7343195.8540000003</v>
      </c>
      <c r="AP24" s="26">
        <f t="shared" si="12"/>
        <v>7343195.8540000003</v>
      </c>
      <c r="AQ24" s="26">
        <f t="shared" si="12"/>
        <v>7343195.8540000003</v>
      </c>
      <c r="AR24" s="26">
        <f t="shared" si="12"/>
        <v>7343195.8540000003</v>
      </c>
      <c r="AS24" s="26">
        <f t="shared" si="12"/>
        <v>7343195.8540000003</v>
      </c>
      <c r="AT24" s="26">
        <f t="shared" si="12"/>
        <v>7343195.8540000003</v>
      </c>
      <c r="AU24" s="26">
        <f t="shared" si="12"/>
        <v>7343195.8540000003</v>
      </c>
      <c r="AV24" s="26">
        <f t="shared" si="12"/>
        <v>7343195.8540000003</v>
      </c>
      <c r="AW24" s="26">
        <f t="shared" si="12"/>
        <v>7343195.8540000003</v>
      </c>
      <c r="AX24" s="26">
        <f t="shared" si="12"/>
        <v>7343195.8540000003</v>
      </c>
      <c r="AY24" s="26">
        <f t="shared" si="12"/>
        <v>7343195.8540000003</v>
      </c>
      <c r="AZ24" s="26">
        <f t="shared" si="12"/>
        <v>7343195.8540000003</v>
      </c>
      <c r="BA24" s="26">
        <f t="shared" si="12"/>
        <v>7343195.8540000003</v>
      </c>
      <c r="BB24" s="26">
        <f t="shared" si="12"/>
        <v>7343195.8540000003</v>
      </c>
      <c r="BC24" s="26">
        <f t="shared" si="12"/>
        <v>7343195.8540000003</v>
      </c>
      <c r="BD24" s="26">
        <f t="shared" si="12"/>
        <v>7343195.8540000003</v>
      </c>
      <c r="BE24" s="26">
        <f t="shared" si="12"/>
        <v>7343195.8540000003</v>
      </c>
    </row>
    <row r="25" spans="2:57">
      <c r="B25" s="49" t="s">
        <v>53</v>
      </c>
      <c r="C25" s="111"/>
      <c r="D25" s="136"/>
      <c r="E25" s="138"/>
      <c r="F25" s="138"/>
      <c r="G25" s="137"/>
      <c r="M25" s="46">
        <f>SUM('2-Bénéfices SAP'!D41:D42)</f>
        <v>326930.89300000004</v>
      </c>
      <c r="N25" s="26">
        <f t="shared" si="11"/>
        <v>326930.89300000004</v>
      </c>
      <c r="O25" s="26">
        <f t="shared" si="12"/>
        <v>326930.89300000004</v>
      </c>
      <c r="P25" s="26">
        <f t="shared" si="12"/>
        <v>326930.89300000004</v>
      </c>
      <c r="Q25" s="26">
        <f t="shared" si="12"/>
        <v>326930.89300000004</v>
      </c>
      <c r="R25" s="26">
        <f t="shared" si="12"/>
        <v>326930.89300000004</v>
      </c>
      <c r="S25" s="26">
        <f t="shared" si="12"/>
        <v>326930.89300000004</v>
      </c>
      <c r="T25" s="26">
        <f t="shared" si="12"/>
        <v>326930.89300000004</v>
      </c>
      <c r="U25" s="26">
        <f t="shared" si="12"/>
        <v>326930.89300000004</v>
      </c>
      <c r="V25" s="26">
        <f t="shared" si="12"/>
        <v>326930.89300000004</v>
      </c>
      <c r="W25" s="26">
        <f t="shared" si="12"/>
        <v>326930.89300000004</v>
      </c>
      <c r="X25" s="26">
        <f t="shared" si="12"/>
        <v>326930.89300000004</v>
      </c>
      <c r="Y25" s="26">
        <f t="shared" si="12"/>
        <v>326930.89300000004</v>
      </c>
      <c r="Z25" s="26">
        <f t="shared" si="12"/>
        <v>326930.89300000004</v>
      </c>
      <c r="AA25" s="26">
        <f t="shared" si="12"/>
        <v>326930.89300000004</v>
      </c>
      <c r="AB25" s="26">
        <f t="shared" si="12"/>
        <v>326930.89300000004</v>
      </c>
      <c r="AC25" s="26">
        <f t="shared" si="12"/>
        <v>326930.89300000004</v>
      </c>
      <c r="AD25" s="26">
        <f t="shared" si="12"/>
        <v>326930.89300000004</v>
      </c>
      <c r="AE25" s="26">
        <f t="shared" si="12"/>
        <v>326930.89300000004</v>
      </c>
      <c r="AF25" s="26">
        <f t="shared" si="12"/>
        <v>326930.89300000004</v>
      </c>
      <c r="AG25" s="26">
        <f t="shared" si="12"/>
        <v>326930.89300000004</v>
      </c>
      <c r="AH25" s="26">
        <f t="shared" si="12"/>
        <v>326930.89300000004</v>
      </c>
      <c r="AI25" s="26">
        <f t="shared" si="12"/>
        <v>326930.89300000004</v>
      </c>
      <c r="AJ25" s="26">
        <f t="shared" si="12"/>
        <v>326930.89300000004</v>
      </c>
      <c r="AK25" s="26">
        <f t="shared" si="12"/>
        <v>326930.89300000004</v>
      </c>
      <c r="AL25" s="26">
        <f t="shared" si="12"/>
        <v>326930.89300000004</v>
      </c>
      <c r="AM25" s="26">
        <f t="shared" si="12"/>
        <v>326930.89300000004</v>
      </c>
      <c r="AN25" s="26">
        <f t="shared" si="12"/>
        <v>326930.89300000004</v>
      </c>
      <c r="AO25" s="26">
        <f t="shared" si="12"/>
        <v>326930.89300000004</v>
      </c>
      <c r="AP25" s="26">
        <f t="shared" si="12"/>
        <v>326930.89300000004</v>
      </c>
      <c r="AQ25" s="26">
        <f t="shared" si="12"/>
        <v>326930.89300000004</v>
      </c>
      <c r="AR25" s="26">
        <f t="shared" si="12"/>
        <v>326930.89300000004</v>
      </c>
      <c r="AS25" s="26">
        <f t="shared" si="12"/>
        <v>326930.89300000004</v>
      </c>
      <c r="AT25" s="26">
        <f t="shared" si="12"/>
        <v>326930.89300000004</v>
      </c>
      <c r="AU25" s="26">
        <f t="shared" si="12"/>
        <v>326930.89300000004</v>
      </c>
      <c r="AV25" s="26">
        <f t="shared" si="12"/>
        <v>326930.89300000004</v>
      </c>
      <c r="AW25" s="26">
        <f t="shared" si="12"/>
        <v>326930.89300000004</v>
      </c>
      <c r="AX25" s="26">
        <f t="shared" si="12"/>
        <v>326930.89300000004</v>
      </c>
      <c r="AY25" s="26">
        <f t="shared" si="12"/>
        <v>326930.89300000004</v>
      </c>
      <c r="AZ25" s="26">
        <f t="shared" si="12"/>
        <v>326930.89300000004</v>
      </c>
      <c r="BA25" s="26">
        <f t="shared" si="12"/>
        <v>326930.89300000004</v>
      </c>
      <c r="BB25" s="26">
        <f t="shared" si="12"/>
        <v>326930.89300000004</v>
      </c>
      <c r="BC25" s="26">
        <f t="shared" si="12"/>
        <v>326930.89300000004</v>
      </c>
      <c r="BD25" s="26">
        <f t="shared" si="12"/>
        <v>326930.89300000004</v>
      </c>
      <c r="BE25" s="26">
        <f t="shared" si="12"/>
        <v>326930.89300000004</v>
      </c>
    </row>
    <row r="26" spans="2:57">
      <c r="B26" s="49" t="s">
        <v>11</v>
      </c>
      <c r="C26" s="111"/>
      <c r="D26" s="136"/>
      <c r="E26" s="138"/>
      <c r="F26" s="138"/>
      <c r="G26" s="137"/>
      <c r="M26" s="46">
        <f>SUM('2-Bénéfices SAP'!D47:D48)</f>
        <v>196504.573</v>
      </c>
      <c r="N26" s="26">
        <f t="shared" si="11"/>
        <v>196504.573</v>
      </c>
      <c r="O26" s="26">
        <f t="shared" si="12"/>
        <v>196504.573</v>
      </c>
      <c r="P26" s="26">
        <f t="shared" si="12"/>
        <v>196504.573</v>
      </c>
      <c r="Q26" s="26">
        <f t="shared" si="12"/>
        <v>196504.573</v>
      </c>
      <c r="R26" s="26">
        <f t="shared" si="12"/>
        <v>196504.573</v>
      </c>
      <c r="S26" s="26">
        <f t="shared" si="12"/>
        <v>196504.573</v>
      </c>
      <c r="T26" s="26">
        <f t="shared" si="12"/>
        <v>196504.573</v>
      </c>
      <c r="U26" s="26">
        <f t="shared" si="12"/>
        <v>196504.573</v>
      </c>
      <c r="V26" s="26">
        <f t="shared" si="12"/>
        <v>196504.573</v>
      </c>
      <c r="W26" s="26">
        <f t="shared" si="12"/>
        <v>196504.573</v>
      </c>
      <c r="X26" s="26">
        <f t="shared" si="12"/>
        <v>196504.573</v>
      </c>
      <c r="Y26" s="26">
        <f t="shared" si="12"/>
        <v>196504.573</v>
      </c>
      <c r="Z26" s="26">
        <f t="shared" si="12"/>
        <v>196504.573</v>
      </c>
      <c r="AA26" s="26">
        <f t="shared" si="12"/>
        <v>196504.573</v>
      </c>
      <c r="AB26" s="26">
        <f t="shared" si="12"/>
        <v>196504.573</v>
      </c>
      <c r="AC26" s="26">
        <f t="shared" si="12"/>
        <v>196504.573</v>
      </c>
      <c r="AD26" s="26">
        <f t="shared" si="12"/>
        <v>196504.573</v>
      </c>
      <c r="AE26" s="26">
        <f t="shared" si="12"/>
        <v>196504.573</v>
      </c>
      <c r="AF26" s="26">
        <f t="shared" si="12"/>
        <v>196504.573</v>
      </c>
      <c r="AG26" s="26">
        <f t="shared" si="12"/>
        <v>196504.573</v>
      </c>
      <c r="AH26" s="26">
        <f t="shared" si="12"/>
        <v>196504.573</v>
      </c>
      <c r="AI26" s="26">
        <f t="shared" si="12"/>
        <v>196504.573</v>
      </c>
      <c r="AJ26" s="26">
        <f t="shared" si="12"/>
        <v>196504.573</v>
      </c>
      <c r="AK26" s="26">
        <f t="shared" si="12"/>
        <v>196504.573</v>
      </c>
      <c r="AL26" s="26">
        <f t="shared" si="12"/>
        <v>196504.573</v>
      </c>
      <c r="AM26" s="26">
        <f t="shared" si="12"/>
        <v>196504.573</v>
      </c>
      <c r="AN26" s="26">
        <f t="shared" si="12"/>
        <v>196504.573</v>
      </c>
      <c r="AO26" s="26">
        <f t="shared" si="12"/>
        <v>196504.573</v>
      </c>
      <c r="AP26" s="26">
        <f t="shared" si="12"/>
        <v>196504.573</v>
      </c>
      <c r="AQ26" s="26">
        <f t="shared" si="12"/>
        <v>196504.573</v>
      </c>
      <c r="AR26" s="26">
        <f t="shared" si="12"/>
        <v>196504.573</v>
      </c>
      <c r="AS26" s="26">
        <f t="shared" si="12"/>
        <v>196504.573</v>
      </c>
      <c r="AT26" s="26">
        <f t="shared" si="12"/>
        <v>196504.573</v>
      </c>
      <c r="AU26" s="26">
        <f t="shared" si="12"/>
        <v>196504.573</v>
      </c>
      <c r="AV26" s="26">
        <f t="shared" si="12"/>
        <v>196504.573</v>
      </c>
      <c r="AW26" s="26">
        <f t="shared" si="12"/>
        <v>196504.573</v>
      </c>
      <c r="AX26" s="26">
        <f t="shared" si="12"/>
        <v>196504.573</v>
      </c>
      <c r="AY26" s="26">
        <f t="shared" si="12"/>
        <v>196504.573</v>
      </c>
      <c r="AZ26" s="26">
        <f t="shared" si="12"/>
        <v>196504.573</v>
      </c>
      <c r="BA26" s="26">
        <f t="shared" si="12"/>
        <v>196504.573</v>
      </c>
      <c r="BB26" s="26">
        <f t="shared" si="12"/>
        <v>196504.573</v>
      </c>
      <c r="BC26" s="26">
        <f t="shared" si="12"/>
        <v>196504.573</v>
      </c>
      <c r="BD26" s="26">
        <f t="shared" si="12"/>
        <v>196504.573</v>
      </c>
      <c r="BE26" s="26">
        <f t="shared" si="12"/>
        <v>196504.573</v>
      </c>
    </row>
    <row r="27" spans="2:57">
      <c r="B27" s="49" t="s">
        <v>54</v>
      </c>
      <c r="C27" s="111"/>
      <c r="D27" s="136"/>
      <c r="E27" s="138"/>
      <c r="F27" s="138"/>
      <c r="G27" s="137"/>
      <c r="M27" s="46">
        <f>SUM('2-Bénéfices SAP'!D45:D46)</f>
        <v>6171808.5085000005</v>
      </c>
      <c r="N27" s="26">
        <f t="shared" si="11"/>
        <v>6171808.5085000005</v>
      </c>
      <c r="O27" s="26">
        <f t="shared" si="12"/>
        <v>6171808.5085000005</v>
      </c>
      <c r="P27" s="26">
        <f t="shared" si="12"/>
        <v>6171808.5085000005</v>
      </c>
      <c r="Q27" s="26">
        <f t="shared" si="12"/>
        <v>6171808.5085000005</v>
      </c>
      <c r="R27" s="26">
        <f t="shared" si="12"/>
        <v>6171808.5085000005</v>
      </c>
      <c r="S27" s="26">
        <f t="shared" si="12"/>
        <v>6171808.5085000005</v>
      </c>
      <c r="T27" s="26">
        <f t="shared" si="12"/>
        <v>6171808.5085000005</v>
      </c>
      <c r="U27" s="26">
        <f t="shared" si="12"/>
        <v>6171808.5085000005</v>
      </c>
      <c r="V27" s="26">
        <f t="shared" si="12"/>
        <v>6171808.5085000005</v>
      </c>
      <c r="W27" s="26">
        <f t="shared" si="12"/>
        <v>6171808.5085000005</v>
      </c>
      <c r="X27" s="26">
        <f t="shared" si="12"/>
        <v>6171808.5085000005</v>
      </c>
      <c r="Y27" s="26">
        <f t="shared" si="12"/>
        <v>6171808.5085000005</v>
      </c>
      <c r="Z27" s="26">
        <f t="shared" si="12"/>
        <v>6171808.5085000005</v>
      </c>
      <c r="AA27" s="26">
        <f t="shared" si="12"/>
        <v>6171808.5085000005</v>
      </c>
      <c r="AB27" s="26">
        <f t="shared" si="12"/>
        <v>6171808.5085000005</v>
      </c>
      <c r="AC27" s="26">
        <f t="shared" si="12"/>
        <v>6171808.5085000005</v>
      </c>
      <c r="AD27" s="26">
        <f t="shared" si="12"/>
        <v>6171808.5085000005</v>
      </c>
      <c r="AE27" s="26">
        <f t="shared" si="12"/>
        <v>6171808.5085000005</v>
      </c>
      <c r="AF27" s="26">
        <f t="shared" si="12"/>
        <v>6171808.5085000005</v>
      </c>
      <c r="AG27" s="26">
        <f t="shared" si="12"/>
        <v>6171808.5085000005</v>
      </c>
      <c r="AH27" s="26">
        <f t="shared" si="12"/>
        <v>6171808.5085000005</v>
      </c>
      <c r="AI27" s="26">
        <f t="shared" si="12"/>
        <v>6171808.5085000005</v>
      </c>
      <c r="AJ27" s="26">
        <f t="shared" si="12"/>
        <v>6171808.5085000005</v>
      </c>
      <c r="AK27" s="26">
        <f t="shared" si="12"/>
        <v>6171808.5085000005</v>
      </c>
      <c r="AL27" s="26">
        <f t="shared" si="12"/>
        <v>6171808.5085000005</v>
      </c>
      <c r="AM27" s="26">
        <f t="shared" si="12"/>
        <v>6171808.5085000005</v>
      </c>
      <c r="AN27" s="26">
        <f t="shared" si="12"/>
        <v>6171808.5085000005</v>
      </c>
      <c r="AO27" s="26">
        <f t="shared" si="12"/>
        <v>6171808.5085000005</v>
      </c>
      <c r="AP27" s="26">
        <f t="shared" si="12"/>
        <v>6171808.5085000005</v>
      </c>
      <c r="AQ27" s="26">
        <f t="shared" si="12"/>
        <v>6171808.5085000005</v>
      </c>
      <c r="AR27" s="26">
        <f t="shared" si="12"/>
        <v>6171808.5085000005</v>
      </c>
      <c r="AS27" s="26">
        <f t="shared" si="12"/>
        <v>6171808.5085000005</v>
      </c>
      <c r="AT27" s="26">
        <f t="shared" si="12"/>
        <v>6171808.5085000005</v>
      </c>
      <c r="AU27" s="26">
        <f t="shared" si="12"/>
        <v>6171808.5085000005</v>
      </c>
      <c r="AV27" s="26">
        <f t="shared" si="12"/>
        <v>6171808.5085000005</v>
      </c>
      <c r="AW27" s="26">
        <f t="shared" si="12"/>
        <v>6171808.5085000005</v>
      </c>
      <c r="AX27" s="26">
        <f t="shared" si="12"/>
        <v>6171808.5085000005</v>
      </c>
      <c r="AY27" s="26">
        <f t="shared" si="12"/>
        <v>6171808.5085000005</v>
      </c>
      <c r="AZ27" s="26">
        <f t="shared" si="12"/>
        <v>6171808.5085000005</v>
      </c>
      <c r="BA27" s="26">
        <f t="shared" si="12"/>
        <v>6171808.5085000005</v>
      </c>
      <c r="BB27" s="26">
        <f t="shared" si="12"/>
        <v>6171808.5085000005</v>
      </c>
      <c r="BC27" s="26">
        <f t="shared" si="12"/>
        <v>6171808.5085000005</v>
      </c>
      <c r="BD27" s="26">
        <f t="shared" si="12"/>
        <v>6171808.5085000005</v>
      </c>
      <c r="BE27" s="26">
        <f t="shared" si="12"/>
        <v>6171808.5085000005</v>
      </c>
    </row>
    <row r="28" spans="2:57">
      <c r="B28" s="23" t="s">
        <v>56</v>
      </c>
      <c r="C28" s="113"/>
      <c r="D28" s="176"/>
      <c r="E28" s="177"/>
      <c r="F28" s="177"/>
      <c r="G28" s="178"/>
      <c r="H28" s="109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2:57">
      <c r="B29" s="49" t="s">
        <v>9</v>
      </c>
      <c r="C29" s="111"/>
      <c r="D29" s="136"/>
      <c r="E29" s="138"/>
      <c r="F29" s="138"/>
      <c r="G29" s="137"/>
      <c r="M29" s="46">
        <f>'3-Benefices Agric'!$D$16</f>
        <v>43595049.401809692</v>
      </c>
      <c r="N29" s="26">
        <f t="shared" si="11"/>
        <v>43595049.401809692</v>
      </c>
      <c r="O29" s="26">
        <f t="shared" si="12"/>
        <v>43595049.401809692</v>
      </c>
      <c r="P29" s="26">
        <f t="shared" si="12"/>
        <v>43595049.401809692</v>
      </c>
      <c r="Q29" s="26">
        <f t="shared" si="12"/>
        <v>43595049.401809692</v>
      </c>
      <c r="R29" s="26">
        <f t="shared" si="12"/>
        <v>43595049.401809692</v>
      </c>
      <c r="S29" s="26">
        <f t="shared" si="12"/>
        <v>43595049.401809692</v>
      </c>
      <c r="T29" s="26">
        <f t="shared" si="12"/>
        <v>43595049.401809692</v>
      </c>
      <c r="U29" s="26">
        <f t="shared" si="12"/>
        <v>43595049.401809692</v>
      </c>
      <c r="V29" s="26">
        <f t="shared" si="12"/>
        <v>43595049.401809692</v>
      </c>
      <c r="W29" s="26">
        <f t="shared" si="12"/>
        <v>43595049.401809692</v>
      </c>
      <c r="X29" s="26">
        <f t="shared" si="12"/>
        <v>43595049.401809692</v>
      </c>
      <c r="Y29" s="26">
        <f t="shared" si="12"/>
        <v>43595049.401809692</v>
      </c>
      <c r="Z29" s="26">
        <f t="shared" si="12"/>
        <v>43595049.401809692</v>
      </c>
      <c r="AA29" s="26">
        <f t="shared" si="12"/>
        <v>43595049.401809692</v>
      </c>
      <c r="AB29" s="26">
        <f t="shared" si="12"/>
        <v>43595049.401809692</v>
      </c>
      <c r="AC29" s="26">
        <f t="shared" si="12"/>
        <v>43595049.401809692</v>
      </c>
      <c r="AD29" s="26">
        <f t="shared" si="12"/>
        <v>43595049.401809692</v>
      </c>
      <c r="AE29" s="26">
        <f t="shared" si="12"/>
        <v>43595049.401809692</v>
      </c>
      <c r="AF29" s="26">
        <f t="shared" si="12"/>
        <v>43595049.401809692</v>
      </c>
      <c r="AG29" s="26">
        <f t="shared" si="12"/>
        <v>43595049.401809692</v>
      </c>
      <c r="AH29" s="26">
        <f t="shared" si="12"/>
        <v>43595049.401809692</v>
      </c>
      <c r="AI29" s="26">
        <f t="shared" si="12"/>
        <v>43595049.401809692</v>
      </c>
      <c r="AJ29" s="26">
        <f t="shared" si="12"/>
        <v>43595049.401809692</v>
      </c>
      <c r="AK29" s="26">
        <f t="shared" si="12"/>
        <v>43595049.401809692</v>
      </c>
      <c r="AL29" s="26">
        <f t="shared" si="12"/>
        <v>43595049.401809692</v>
      </c>
      <c r="AM29" s="26">
        <f t="shared" si="12"/>
        <v>43595049.401809692</v>
      </c>
      <c r="AN29" s="26">
        <f t="shared" si="12"/>
        <v>43595049.401809692</v>
      </c>
      <c r="AO29" s="26">
        <f t="shared" si="12"/>
        <v>43595049.401809692</v>
      </c>
      <c r="AP29" s="26">
        <f t="shared" si="12"/>
        <v>43595049.401809692</v>
      </c>
      <c r="AQ29" s="26">
        <f t="shared" si="12"/>
        <v>43595049.401809692</v>
      </c>
      <c r="AR29" s="26">
        <f t="shared" si="12"/>
        <v>43595049.401809692</v>
      </c>
      <c r="AS29" s="26">
        <f t="shared" si="12"/>
        <v>43595049.401809692</v>
      </c>
      <c r="AT29" s="26">
        <f t="shared" si="12"/>
        <v>43595049.401809692</v>
      </c>
      <c r="AU29" s="26">
        <f t="shared" si="12"/>
        <v>43595049.401809692</v>
      </c>
      <c r="AV29" s="26">
        <f t="shared" si="12"/>
        <v>43595049.401809692</v>
      </c>
      <c r="AW29" s="26">
        <f t="shared" si="12"/>
        <v>43595049.401809692</v>
      </c>
      <c r="AX29" s="26">
        <f t="shared" si="12"/>
        <v>43595049.401809692</v>
      </c>
      <c r="AY29" s="26">
        <f t="shared" si="12"/>
        <v>43595049.401809692</v>
      </c>
      <c r="AZ29" s="26">
        <f t="shared" si="12"/>
        <v>43595049.401809692</v>
      </c>
      <c r="BA29" s="26">
        <f t="shared" si="12"/>
        <v>43595049.401809692</v>
      </c>
      <c r="BB29" s="26">
        <f t="shared" si="12"/>
        <v>43595049.401809692</v>
      </c>
      <c r="BC29" s="26">
        <f t="shared" si="12"/>
        <v>43595049.401809692</v>
      </c>
      <c r="BD29" s="26">
        <f t="shared" si="12"/>
        <v>43595049.401809692</v>
      </c>
      <c r="BE29" s="26">
        <f t="shared" si="12"/>
        <v>43595049.401809692</v>
      </c>
    </row>
    <row r="30" spans="2:57">
      <c r="B30" s="49" t="s">
        <v>53</v>
      </c>
      <c r="C30" s="111"/>
      <c r="D30" s="136"/>
      <c r="E30" s="138"/>
      <c r="F30" s="138"/>
      <c r="G30" s="137"/>
      <c r="M30" s="46">
        <f>'3-Benefices Agric'!K16</f>
        <v>859168.90146753192</v>
      </c>
      <c r="N30" s="26">
        <f t="shared" si="11"/>
        <v>859168.90146753192</v>
      </c>
      <c r="O30" s="26">
        <f t="shared" si="12"/>
        <v>859168.90146753192</v>
      </c>
      <c r="P30" s="26">
        <f t="shared" si="12"/>
        <v>859168.90146753192</v>
      </c>
      <c r="Q30" s="26">
        <f t="shared" si="12"/>
        <v>859168.90146753192</v>
      </c>
      <c r="R30" s="26">
        <f t="shared" si="12"/>
        <v>859168.90146753192</v>
      </c>
      <c r="S30" s="26">
        <f t="shared" si="12"/>
        <v>859168.90146753192</v>
      </c>
      <c r="T30" s="26">
        <f t="shared" si="12"/>
        <v>859168.90146753192</v>
      </c>
      <c r="U30" s="26">
        <f t="shared" si="12"/>
        <v>859168.90146753192</v>
      </c>
      <c r="V30" s="26">
        <f t="shared" si="12"/>
        <v>859168.90146753192</v>
      </c>
      <c r="W30" s="26">
        <f t="shared" si="12"/>
        <v>859168.90146753192</v>
      </c>
      <c r="X30" s="26">
        <f t="shared" si="12"/>
        <v>859168.90146753192</v>
      </c>
      <c r="Y30" s="26">
        <f t="shared" si="12"/>
        <v>859168.90146753192</v>
      </c>
      <c r="Z30" s="26">
        <f t="shared" si="12"/>
        <v>859168.90146753192</v>
      </c>
      <c r="AA30" s="26">
        <f t="shared" si="12"/>
        <v>859168.90146753192</v>
      </c>
      <c r="AB30" s="26">
        <f t="shared" si="12"/>
        <v>859168.90146753192</v>
      </c>
      <c r="AC30" s="26">
        <f t="shared" si="12"/>
        <v>859168.90146753192</v>
      </c>
      <c r="AD30" s="26">
        <f t="shared" si="12"/>
        <v>859168.90146753192</v>
      </c>
      <c r="AE30" s="26">
        <f t="shared" si="12"/>
        <v>859168.90146753192</v>
      </c>
      <c r="AF30" s="26">
        <f t="shared" si="12"/>
        <v>859168.90146753192</v>
      </c>
      <c r="AG30" s="26">
        <f t="shared" si="12"/>
        <v>859168.90146753192</v>
      </c>
      <c r="AH30" s="26">
        <f t="shared" si="12"/>
        <v>859168.90146753192</v>
      </c>
      <c r="AI30" s="26">
        <f t="shared" si="12"/>
        <v>859168.90146753192</v>
      </c>
      <c r="AJ30" s="26">
        <f t="shared" si="12"/>
        <v>859168.90146753192</v>
      </c>
      <c r="AK30" s="26">
        <f t="shared" si="12"/>
        <v>859168.90146753192</v>
      </c>
      <c r="AL30" s="26">
        <f t="shared" si="12"/>
        <v>859168.90146753192</v>
      </c>
      <c r="AM30" s="26">
        <f t="shared" si="12"/>
        <v>859168.90146753192</v>
      </c>
      <c r="AN30" s="26">
        <f t="shared" si="12"/>
        <v>859168.90146753192</v>
      </c>
      <c r="AO30" s="26">
        <f t="shared" si="12"/>
        <v>859168.90146753192</v>
      </c>
      <c r="AP30" s="26">
        <f t="shared" si="12"/>
        <v>859168.90146753192</v>
      </c>
      <c r="AQ30" s="26">
        <f t="shared" si="12"/>
        <v>859168.90146753192</v>
      </c>
      <c r="AR30" s="26">
        <f t="shared" si="12"/>
        <v>859168.90146753192</v>
      </c>
      <c r="AS30" s="26">
        <f t="shared" si="12"/>
        <v>859168.90146753192</v>
      </c>
      <c r="AT30" s="26">
        <f t="shared" si="12"/>
        <v>859168.90146753192</v>
      </c>
      <c r="AU30" s="26">
        <f t="shared" si="12"/>
        <v>859168.90146753192</v>
      </c>
      <c r="AV30" s="26">
        <f t="shared" si="12"/>
        <v>859168.90146753192</v>
      </c>
      <c r="AW30" s="26">
        <f t="shared" si="12"/>
        <v>859168.90146753192</v>
      </c>
      <c r="AX30" s="26">
        <f t="shared" si="12"/>
        <v>859168.90146753192</v>
      </c>
      <c r="AY30" s="26">
        <f t="shared" si="12"/>
        <v>859168.90146753192</v>
      </c>
      <c r="AZ30" s="26">
        <f t="shared" si="12"/>
        <v>859168.90146753192</v>
      </c>
      <c r="BA30" s="26">
        <f t="shared" si="12"/>
        <v>859168.90146753192</v>
      </c>
      <c r="BB30" s="26">
        <f t="shared" si="12"/>
        <v>859168.90146753192</v>
      </c>
      <c r="BC30" s="26">
        <f t="shared" si="12"/>
        <v>859168.90146753192</v>
      </c>
      <c r="BD30" s="26">
        <f t="shared" si="12"/>
        <v>859168.90146753192</v>
      </c>
      <c r="BE30" s="26">
        <f t="shared" si="12"/>
        <v>859168.90146753192</v>
      </c>
    </row>
    <row r="31" spans="2:57">
      <c r="B31" s="49" t="s">
        <v>11</v>
      </c>
      <c r="C31" s="111"/>
      <c r="D31" s="136"/>
      <c r="E31" s="138"/>
      <c r="F31" s="138"/>
      <c r="G31" s="137"/>
      <c r="M31" s="46">
        <f>'3-Benefices Agric'!D29</f>
        <v>61372.366081380285</v>
      </c>
      <c r="N31" s="26">
        <f t="shared" si="11"/>
        <v>61372.366081380285</v>
      </c>
      <c r="O31" s="26">
        <f t="shared" si="12"/>
        <v>61372.366081380285</v>
      </c>
      <c r="P31" s="26">
        <f t="shared" si="12"/>
        <v>61372.366081380285</v>
      </c>
      <c r="Q31" s="26">
        <f t="shared" si="12"/>
        <v>61372.366081380285</v>
      </c>
      <c r="R31" s="26">
        <f t="shared" si="12"/>
        <v>61372.366081380285</v>
      </c>
      <c r="S31" s="26">
        <f t="shared" si="12"/>
        <v>61372.366081380285</v>
      </c>
      <c r="T31" s="26">
        <f t="shared" si="12"/>
        <v>61372.366081380285</v>
      </c>
      <c r="U31" s="26">
        <f t="shared" si="12"/>
        <v>61372.366081380285</v>
      </c>
      <c r="V31" s="26">
        <f t="shared" si="12"/>
        <v>61372.366081380285</v>
      </c>
      <c r="W31" s="26">
        <f t="shared" si="12"/>
        <v>61372.366081380285</v>
      </c>
      <c r="X31" s="26">
        <f t="shared" si="12"/>
        <v>61372.366081380285</v>
      </c>
      <c r="Y31" s="26">
        <f t="shared" si="12"/>
        <v>61372.366081380285</v>
      </c>
      <c r="Z31" s="26">
        <f t="shared" si="12"/>
        <v>61372.366081380285</v>
      </c>
      <c r="AA31" s="26">
        <f t="shared" ref="O31:BE32" si="13">Z31</f>
        <v>61372.366081380285</v>
      </c>
      <c r="AB31" s="26">
        <f t="shared" si="13"/>
        <v>61372.366081380285</v>
      </c>
      <c r="AC31" s="26">
        <f t="shared" si="13"/>
        <v>61372.366081380285</v>
      </c>
      <c r="AD31" s="26">
        <f t="shared" si="13"/>
        <v>61372.366081380285</v>
      </c>
      <c r="AE31" s="26">
        <f t="shared" si="13"/>
        <v>61372.366081380285</v>
      </c>
      <c r="AF31" s="26">
        <f t="shared" si="13"/>
        <v>61372.366081380285</v>
      </c>
      <c r="AG31" s="26">
        <f t="shared" si="13"/>
        <v>61372.366081380285</v>
      </c>
      <c r="AH31" s="26">
        <f t="shared" si="13"/>
        <v>61372.366081380285</v>
      </c>
      <c r="AI31" s="26">
        <f t="shared" si="13"/>
        <v>61372.366081380285</v>
      </c>
      <c r="AJ31" s="26">
        <f t="shared" si="13"/>
        <v>61372.366081380285</v>
      </c>
      <c r="AK31" s="26">
        <f t="shared" si="13"/>
        <v>61372.366081380285</v>
      </c>
      <c r="AL31" s="26">
        <f t="shared" si="13"/>
        <v>61372.366081380285</v>
      </c>
      <c r="AM31" s="26">
        <f t="shared" si="13"/>
        <v>61372.366081380285</v>
      </c>
      <c r="AN31" s="26">
        <f t="shared" si="13"/>
        <v>61372.366081380285</v>
      </c>
      <c r="AO31" s="26">
        <f t="shared" si="13"/>
        <v>61372.366081380285</v>
      </c>
      <c r="AP31" s="26">
        <f t="shared" si="13"/>
        <v>61372.366081380285</v>
      </c>
      <c r="AQ31" s="26">
        <f t="shared" si="13"/>
        <v>61372.366081380285</v>
      </c>
      <c r="AR31" s="26">
        <f t="shared" si="13"/>
        <v>61372.366081380285</v>
      </c>
      <c r="AS31" s="26">
        <f t="shared" si="13"/>
        <v>61372.366081380285</v>
      </c>
      <c r="AT31" s="26">
        <f t="shared" si="13"/>
        <v>61372.366081380285</v>
      </c>
      <c r="AU31" s="26">
        <f t="shared" si="13"/>
        <v>61372.366081380285</v>
      </c>
      <c r="AV31" s="26">
        <f t="shared" si="13"/>
        <v>61372.366081380285</v>
      </c>
      <c r="AW31" s="26">
        <f t="shared" si="13"/>
        <v>61372.366081380285</v>
      </c>
      <c r="AX31" s="26">
        <f t="shared" si="13"/>
        <v>61372.366081380285</v>
      </c>
      <c r="AY31" s="26">
        <f t="shared" si="13"/>
        <v>61372.366081380285</v>
      </c>
      <c r="AZ31" s="26">
        <f t="shared" si="13"/>
        <v>61372.366081380285</v>
      </c>
      <c r="BA31" s="26">
        <f t="shared" si="13"/>
        <v>61372.366081380285</v>
      </c>
      <c r="BB31" s="26">
        <f t="shared" si="13"/>
        <v>61372.366081380285</v>
      </c>
      <c r="BC31" s="26">
        <f t="shared" si="13"/>
        <v>61372.366081380285</v>
      </c>
      <c r="BD31" s="26">
        <f t="shared" si="13"/>
        <v>61372.366081380285</v>
      </c>
      <c r="BE31" s="26">
        <f t="shared" si="13"/>
        <v>61372.366081380285</v>
      </c>
    </row>
    <row r="32" spans="2:57">
      <c r="B32" s="49" t="s">
        <v>54</v>
      </c>
      <c r="C32" s="111"/>
      <c r="D32" s="136"/>
      <c r="E32" s="138"/>
      <c r="F32" s="138"/>
      <c r="G32" s="137"/>
      <c r="M32" s="46">
        <f>'3-Benefices Agric'!K29</f>
        <v>15308836.20136404</v>
      </c>
      <c r="N32" s="26">
        <f t="shared" si="11"/>
        <v>15308836.20136404</v>
      </c>
      <c r="O32" s="26">
        <f t="shared" si="13"/>
        <v>15308836.20136404</v>
      </c>
      <c r="P32" s="26">
        <f t="shared" si="13"/>
        <v>15308836.20136404</v>
      </c>
      <c r="Q32" s="26">
        <f t="shared" si="13"/>
        <v>15308836.20136404</v>
      </c>
      <c r="R32" s="26">
        <f t="shared" si="13"/>
        <v>15308836.20136404</v>
      </c>
      <c r="S32" s="26">
        <f t="shared" si="13"/>
        <v>15308836.20136404</v>
      </c>
      <c r="T32" s="26">
        <f t="shared" si="13"/>
        <v>15308836.20136404</v>
      </c>
      <c r="U32" s="26">
        <f t="shared" si="13"/>
        <v>15308836.20136404</v>
      </c>
      <c r="V32" s="26">
        <f t="shared" si="13"/>
        <v>15308836.20136404</v>
      </c>
      <c r="W32" s="26">
        <f t="shared" si="13"/>
        <v>15308836.20136404</v>
      </c>
      <c r="X32" s="26">
        <f t="shared" si="13"/>
        <v>15308836.20136404</v>
      </c>
      <c r="Y32" s="26">
        <f t="shared" si="13"/>
        <v>15308836.20136404</v>
      </c>
      <c r="Z32" s="26">
        <f t="shared" si="13"/>
        <v>15308836.20136404</v>
      </c>
      <c r="AA32" s="26">
        <f t="shared" si="13"/>
        <v>15308836.20136404</v>
      </c>
      <c r="AB32" s="26">
        <f t="shared" si="13"/>
        <v>15308836.20136404</v>
      </c>
      <c r="AC32" s="26">
        <f t="shared" si="13"/>
        <v>15308836.20136404</v>
      </c>
      <c r="AD32" s="26">
        <f t="shared" si="13"/>
        <v>15308836.20136404</v>
      </c>
      <c r="AE32" s="26">
        <f t="shared" si="13"/>
        <v>15308836.20136404</v>
      </c>
      <c r="AF32" s="26">
        <f t="shared" si="13"/>
        <v>15308836.20136404</v>
      </c>
      <c r="AG32" s="26">
        <f t="shared" si="13"/>
        <v>15308836.20136404</v>
      </c>
      <c r="AH32" s="26">
        <f t="shared" si="13"/>
        <v>15308836.20136404</v>
      </c>
      <c r="AI32" s="26">
        <f t="shared" si="13"/>
        <v>15308836.20136404</v>
      </c>
      <c r="AJ32" s="26">
        <f t="shared" si="13"/>
        <v>15308836.20136404</v>
      </c>
      <c r="AK32" s="26">
        <f t="shared" si="13"/>
        <v>15308836.20136404</v>
      </c>
      <c r="AL32" s="26">
        <f t="shared" si="13"/>
        <v>15308836.20136404</v>
      </c>
      <c r="AM32" s="26">
        <f t="shared" si="13"/>
        <v>15308836.20136404</v>
      </c>
      <c r="AN32" s="26">
        <f t="shared" si="13"/>
        <v>15308836.20136404</v>
      </c>
      <c r="AO32" s="26">
        <f t="shared" si="13"/>
        <v>15308836.20136404</v>
      </c>
      <c r="AP32" s="26">
        <f t="shared" si="13"/>
        <v>15308836.20136404</v>
      </c>
      <c r="AQ32" s="26">
        <f t="shared" si="13"/>
        <v>15308836.20136404</v>
      </c>
      <c r="AR32" s="26">
        <f t="shared" si="13"/>
        <v>15308836.20136404</v>
      </c>
      <c r="AS32" s="26">
        <f t="shared" si="13"/>
        <v>15308836.20136404</v>
      </c>
      <c r="AT32" s="26">
        <f t="shared" si="13"/>
        <v>15308836.20136404</v>
      </c>
      <c r="AU32" s="26">
        <f t="shared" si="13"/>
        <v>15308836.20136404</v>
      </c>
      <c r="AV32" s="26">
        <f t="shared" si="13"/>
        <v>15308836.20136404</v>
      </c>
      <c r="AW32" s="26">
        <f t="shared" si="13"/>
        <v>15308836.20136404</v>
      </c>
      <c r="AX32" s="26">
        <f t="shared" si="13"/>
        <v>15308836.20136404</v>
      </c>
      <c r="AY32" s="26">
        <f t="shared" si="13"/>
        <v>15308836.20136404</v>
      </c>
      <c r="AZ32" s="26">
        <f t="shared" si="13"/>
        <v>15308836.20136404</v>
      </c>
      <c r="BA32" s="26">
        <f t="shared" si="13"/>
        <v>15308836.20136404</v>
      </c>
      <c r="BB32" s="26">
        <f t="shared" si="13"/>
        <v>15308836.20136404</v>
      </c>
      <c r="BC32" s="26">
        <f t="shared" si="13"/>
        <v>15308836.20136404</v>
      </c>
      <c r="BD32" s="26">
        <f t="shared" si="13"/>
        <v>15308836.20136404</v>
      </c>
      <c r="BE32" s="26">
        <f t="shared" si="13"/>
        <v>15308836.20136404</v>
      </c>
    </row>
    <row r="33" spans="2:57" ht="15.75" thickBot="1">
      <c r="B33" s="108" t="s">
        <v>58</v>
      </c>
      <c r="C33" s="172"/>
      <c r="D33" s="179"/>
      <c r="E33" s="180"/>
      <c r="F33" s="180"/>
      <c r="G33" s="181"/>
      <c r="H33" s="110">
        <f t="shared" ref="H33:L33" si="14">SUM(H24:H32)</f>
        <v>0</v>
      </c>
      <c r="I33" s="52">
        <f t="shared" si="14"/>
        <v>0</v>
      </c>
      <c r="J33" s="52">
        <f t="shared" si="14"/>
        <v>0</v>
      </c>
      <c r="K33" s="52">
        <f t="shared" si="14"/>
        <v>0</v>
      </c>
      <c r="L33" s="52">
        <f t="shared" si="14"/>
        <v>0</v>
      </c>
      <c r="M33" s="52">
        <f>SUM(M24:M32)</f>
        <v>73862866.699222654</v>
      </c>
      <c r="N33" s="52">
        <f t="shared" ref="N33:BE33" si="15">SUM(N24:N32)</f>
        <v>73862866.699222654</v>
      </c>
      <c r="O33" s="52">
        <f t="shared" si="15"/>
        <v>73862866.699222654</v>
      </c>
      <c r="P33" s="52">
        <f t="shared" si="15"/>
        <v>73862866.699222654</v>
      </c>
      <c r="Q33" s="52">
        <f t="shared" si="15"/>
        <v>73862866.699222654</v>
      </c>
      <c r="R33" s="52">
        <f t="shared" si="15"/>
        <v>73862866.699222654</v>
      </c>
      <c r="S33" s="52">
        <f t="shared" si="15"/>
        <v>73862866.699222654</v>
      </c>
      <c r="T33" s="52">
        <f t="shared" si="15"/>
        <v>73862866.699222654</v>
      </c>
      <c r="U33" s="52">
        <f t="shared" si="15"/>
        <v>73862866.699222654</v>
      </c>
      <c r="V33" s="52">
        <f t="shared" si="15"/>
        <v>73862866.699222654</v>
      </c>
      <c r="W33" s="52">
        <f t="shared" si="15"/>
        <v>73862866.699222654</v>
      </c>
      <c r="X33" s="52">
        <f t="shared" si="15"/>
        <v>73862866.699222654</v>
      </c>
      <c r="Y33" s="52">
        <f t="shared" si="15"/>
        <v>73862866.699222654</v>
      </c>
      <c r="Z33" s="52">
        <f t="shared" si="15"/>
        <v>73862866.699222654</v>
      </c>
      <c r="AA33" s="52">
        <f t="shared" si="15"/>
        <v>73862866.699222654</v>
      </c>
      <c r="AB33" s="52">
        <f t="shared" si="15"/>
        <v>73862866.699222654</v>
      </c>
      <c r="AC33" s="52">
        <f t="shared" si="15"/>
        <v>73862866.699222654</v>
      </c>
      <c r="AD33" s="52">
        <f t="shared" si="15"/>
        <v>73862866.699222654</v>
      </c>
      <c r="AE33" s="52">
        <f t="shared" si="15"/>
        <v>73862866.699222654</v>
      </c>
      <c r="AF33" s="52">
        <f t="shared" si="15"/>
        <v>73862866.699222654</v>
      </c>
      <c r="AG33" s="52">
        <f t="shared" si="15"/>
        <v>73862866.699222654</v>
      </c>
      <c r="AH33" s="52">
        <f t="shared" si="15"/>
        <v>73862866.699222654</v>
      </c>
      <c r="AI33" s="52">
        <f t="shared" si="15"/>
        <v>73862866.699222654</v>
      </c>
      <c r="AJ33" s="52">
        <f t="shared" si="15"/>
        <v>73862866.699222654</v>
      </c>
      <c r="AK33" s="52">
        <f t="shared" si="15"/>
        <v>73862866.699222654</v>
      </c>
      <c r="AL33" s="52">
        <f t="shared" si="15"/>
        <v>73862866.699222654</v>
      </c>
      <c r="AM33" s="52">
        <f t="shared" si="15"/>
        <v>73862866.699222654</v>
      </c>
      <c r="AN33" s="52">
        <f t="shared" si="15"/>
        <v>73862866.699222654</v>
      </c>
      <c r="AO33" s="52">
        <f t="shared" si="15"/>
        <v>73862866.699222654</v>
      </c>
      <c r="AP33" s="52">
        <f t="shared" si="15"/>
        <v>73862866.699222654</v>
      </c>
      <c r="AQ33" s="52">
        <f t="shared" si="15"/>
        <v>73862866.699222654</v>
      </c>
      <c r="AR33" s="52">
        <f t="shared" si="15"/>
        <v>73862866.699222654</v>
      </c>
      <c r="AS33" s="52">
        <f t="shared" si="15"/>
        <v>73862866.699222654</v>
      </c>
      <c r="AT33" s="52">
        <f t="shared" si="15"/>
        <v>73862866.699222654</v>
      </c>
      <c r="AU33" s="52">
        <f t="shared" si="15"/>
        <v>73862866.699222654</v>
      </c>
      <c r="AV33" s="52">
        <f t="shared" si="15"/>
        <v>73862866.699222654</v>
      </c>
      <c r="AW33" s="52">
        <f t="shared" si="15"/>
        <v>73862866.699222654</v>
      </c>
      <c r="AX33" s="52">
        <f t="shared" si="15"/>
        <v>73862866.699222654</v>
      </c>
      <c r="AY33" s="52">
        <f t="shared" si="15"/>
        <v>73862866.699222654</v>
      </c>
      <c r="AZ33" s="52">
        <f t="shared" si="15"/>
        <v>73862866.699222654</v>
      </c>
      <c r="BA33" s="52">
        <f t="shared" si="15"/>
        <v>73862866.699222654</v>
      </c>
      <c r="BB33" s="52">
        <f t="shared" si="15"/>
        <v>73862866.699222654</v>
      </c>
      <c r="BC33" s="52">
        <f t="shared" si="15"/>
        <v>73862866.699222654</v>
      </c>
      <c r="BD33" s="52">
        <f t="shared" si="15"/>
        <v>73862866.699222654</v>
      </c>
      <c r="BE33" s="52">
        <f t="shared" si="15"/>
        <v>73862866.699222654</v>
      </c>
    </row>
    <row r="34" spans="2:57">
      <c r="B34" s="204" t="s">
        <v>69</v>
      </c>
      <c r="C34" s="204"/>
      <c r="D34" s="204"/>
      <c r="E34" s="204"/>
      <c r="F34" s="204"/>
      <c r="G34" s="205"/>
      <c r="H34" s="55">
        <f t="shared" ref="H34:AM34" si="16">H33-H20</f>
        <v>-13776500</v>
      </c>
      <c r="I34" s="55">
        <f t="shared" si="16"/>
        <v>-37810500</v>
      </c>
      <c r="J34" s="55">
        <f t="shared" si="16"/>
        <v>-14373500</v>
      </c>
      <c r="K34" s="55">
        <f t="shared" si="16"/>
        <v>-7086000</v>
      </c>
      <c r="L34" s="55">
        <f t="shared" si="16"/>
        <v>-5014000</v>
      </c>
      <c r="M34" s="55">
        <f t="shared" si="16"/>
        <v>71253866.699222654</v>
      </c>
      <c r="N34" s="55">
        <f t="shared" si="16"/>
        <v>71253866.699222654</v>
      </c>
      <c r="O34" s="55">
        <f t="shared" si="16"/>
        <v>71253866.699222654</v>
      </c>
      <c r="P34" s="55">
        <f t="shared" si="16"/>
        <v>71253866.699222654</v>
      </c>
      <c r="Q34" s="55">
        <f t="shared" si="16"/>
        <v>71253866.699222654</v>
      </c>
      <c r="R34" s="55">
        <f t="shared" si="16"/>
        <v>71253866.699222654</v>
      </c>
      <c r="S34" s="55">
        <f t="shared" si="16"/>
        <v>71253866.699222654</v>
      </c>
      <c r="T34" s="55">
        <f t="shared" si="16"/>
        <v>71253866.699222654</v>
      </c>
      <c r="U34" s="55">
        <f t="shared" si="16"/>
        <v>71253866.699222654</v>
      </c>
      <c r="V34" s="55">
        <f t="shared" si="16"/>
        <v>71253866.699222654</v>
      </c>
      <c r="W34" s="55">
        <f t="shared" si="16"/>
        <v>71253866.699222654</v>
      </c>
      <c r="X34" s="55">
        <f t="shared" si="16"/>
        <v>71253866.699222654</v>
      </c>
      <c r="Y34" s="55">
        <f t="shared" si="16"/>
        <v>71253866.699222654</v>
      </c>
      <c r="Z34" s="55">
        <f t="shared" si="16"/>
        <v>71253866.699222654</v>
      </c>
      <c r="AA34" s="55">
        <f t="shared" si="16"/>
        <v>71253866.699222654</v>
      </c>
      <c r="AB34" s="55">
        <f t="shared" si="16"/>
        <v>71253866.699222654</v>
      </c>
      <c r="AC34" s="55">
        <f t="shared" si="16"/>
        <v>71253866.699222654</v>
      </c>
      <c r="AD34" s="55">
        <f t="shared" si="16"/>
        <v>71253866.699222654</v>
      </c>
      <c r="AE34" s="55">
        <f t="shared" si="16"/>
        <v>71253866.699222654</v>
      </c>
      <c r="AF34" s="55">
        <f t="shared" si="16"/>
        <v>71253866.699222654</v>
      </c>
      <c r="AG34" s="55">
        <f t="shared" si="16"/>
        <v>71253866.699222654</v>
      </c>
      <c r="AH34" s="55">
        <f t="shared" si="16"/>
        <v>71253866.699222654</v>
      </c>
      <c r="AI34" s="55">
        <f t="shared" si="16"/>
        <v>71253866.699222654</v>
      </c>
      <c r="AJ34" s="55">
        <f t="shared" si="16"/>
        <v>71253866.699222654</v>
      </c>
      <c r="AK34" s="55">
        <f t="shared" si="16"/>
        <v>71253866.699222654</v>
      </c>
      <c r="AL34" s="55">
        <f t="shared" si="16"/>
        <v>71253866.699222654</v>
      </c>
      <c r="AM34" s="55">
        <f t="shared" si="16"/>
        <v>71253866.699222654</v>
      </c>
      <c r="AN34" s="55">
        <f t="shared" ref="AN34:BE34" si="17">AN33-AN20</f>
        <v>71253866.699222654</v>
      </c>
      <c r="AO34" s="55">
        <f t="shared" si="17"/>
        <v>71253866.699222654</v>
      </c>
      <c r="AP34" s="55">
        <f t="shared" si="17"/>
        <v>71253866.699222654</v>
      </c>
      <c r="AQ34" s="55">
        <f t="shared" si="17"/>
        <v>71253866.699222654</v>
      </c>
      <c r="AR34" s="55">
        <f t="shared" si="17"/>
        <v>71253866.699222654</v>
      </c>
      <c r="AS34" s="55">
        <f t="shared" si="17"/>
        <v>71253866.699222654</v>
      </c>
      <c r="AT34" s="55">
        <f t="shared" si="17"/>
        <v>71253866.699222654</v>
      </c>
      <c r="AU34" s="55">
        <f t="shared" si="17"/>
        <v>71253866.699222654</v>
      </c>
      <c r="AV34" s="55">
        <f t="shared" si="17"/>
        <v>71253866.699222654</v>
      </c>
      <c r="AW34" s="55">
        <f t="shared" si="17"/>
        <v>71253866.699222654</v>
      </c>
      <c r="AX34" s="55">
        <f t="shared" si="17"/>
        <v>71253866.699222654</v>
      </c>
      <c r="AY34" s="55">
        <f t="shared" si="17"/>
        <v>71253866.699222654</v>
      </c>
      <c r="AZ34" s="55">
        <f t="shared" si="17"/>
        <v>71253866.699222654</v>
      </c>
      <c r="BA34" s="55">
        <f t="shared" si="17"/>
        <v>71253866.699222654</v>
      </c>
      <c r="BB34" s="55">
        <f t="shared" si="17"/>
        <v>71253866.699222654</v>
      </c>
      <c r="BC34" s="55">
        <f t="shared" si="17"/>
        <v>71253866.699222654</v>
      </c>
      <c r="BD34" s="55">
        <f t="shared" si="17"/>
        <v>71253866.699222654</v>
      </c>
      <c r="BE34" s="55">
        <f t="shared" si="17"/>
        <v>71253866.699222654</v>
      </c>
    </row>
    <row r="36" spans="2:57" ht="45">
      <c r="B36" s="155" t="s">
        <v>24</v>
      </c>
      <c r="C36" s="155" t="s">
        <v>94</v>
      </c>
    </row>
    <row r="37" spans="2:57">
      <c r="B37" s="156">
        <v>0.04</v>
      </c>
      <c r="C37" s="157">
        <f>NPV(B37,$H$34:$BE$34)/1000000</f>
        <v>1142.3183226613958</v>
      </c>
    </row>
    <row r="38" spans="2:57">
      <c r="B38" s="156">
        <v>0.06</v>
      </c>
      <c r="C38" s="157">
        <f t="shared" ref="C38:C40" si="18">NPV(B38,$H$34:$BE$34)/1000000</f>
        <v>754.87060460213092</v>
      </c>
    </row>
    <row r="39" spans="2:57">
      <c r="B39" s="156">
        <v>0.08</v>
      </c>
      <c r="C39" s="157">
        <f t="shared" si="18"/>
        <v>521.98361388632702</v>
      </c>
    </row>
    <row r="40" spans="2:57">
      <c r="B40" s="156">
        <v>0.1</v>
      </c>
      <c r="C40" s="157">
        <f t="shared" si="18"/>
        <v>373.836060500396</v>
      </c>
    </row>
  </sheetData>
  <mergeCells count="1">
    <mergeCell ref="B34:G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E09F-82C5-4394-A841-63C042174931}">
  <dimension ref="B2:K53"/>
  <sheetViews>
    <sheetView workbookViewId="0">
      <selection activeCell="D40" sqref="D40"/>
    </sheetView>
  </sheetViews>
  <sheetFormatPr baseColWidth="10" defaultRowHeight="15"/>
  <cols>
    <col min="1" max="1" width="10.140625" customWidth="1"/>
    <col min="2" max="2" width="25" customWidth="1"/>
    <col min="3" max="3" width="31.140625" customWidth="1"/>
    <col min="4" max="5" width="14.85546875" bestFit="1" customWidth="1"/>
    <col min="6" max="6" width="13.85546875" bestFit="1" customWidth="1"/>
    <col min="7" max="10" width="14.5703125" bestFit="1" customWidth="1"/>
  </cols>
  <sheetData>
    <row r="2" spans="2:11">
      <c r="C2" s="12"/>
    </row>
    <row r="4" spans="2:11" ht="15.75" thickBot="1">
      <c r="B4" s="11" t="s">
        <v>17</v>
      </c>
    </row>
    <row r="5" spans="2:11" ht="36" hidden="1">
      <c r="B5" s="1" t="s">
        <v>4</v>
      </c>
      <c r="C5" s="1" t="s">
        <v>5</v>
      </c>
      <c r="D5" s="208" t="s">
        <v>6</v>
      </c>
      <c r="E5" s="1">
        <v>0.1</v>
      </c>
      <c r="F5" s="1">
        <v>0.04</v>
      </c>
      <c r="G5" s="1">
        <v>0.02</v>
      </c>
      <c r="H5" s="1">
        <v>0.01</v>
      </c>
      <c r="I5" s="1">
        <v>4.0000000000000001E-3</v>
      </c>
      <c r="J5" s="1">
        <v>2E-3</v>
      </c>
    </row>
    <row r="6" spans="2:11" hidden="1">
      <c r="B6" s="210" t="s">
        <v>7</v>
      </c>
      <c r="C6" s="211"/>
      <c r="D6" s="209"/>
      <c r="E6" s="1">
        <v>10</v>
      </c>
      <c r="F6" s="1">
        <v>25</v>
      </c>
      <c r="G6" s="1">
        <v>50</v>
      </c>
      <c r="H6" s="1">
        <v>100</v>
      </c>
      <c r="I6" s="1">
        <v>250</v>
      </c>
      <c r="J6" s="1">
        <v>500</v>
      </c>
      <c r="K6" s="2"/>
    </row>
    <row r="7" spans="2:11" hidden="1">
      <c r="B7" s="9" t="s">
        <v>15</v>
      </c>
      <c r="C7" s="9"/>
      <c r="D7" s="9"/>
      <c r="E7" s="9"/>
      <c r="F7" s="9"/>
      <c r="G7" s="9"/>
      <c r="H7" s="9"/>
      <c r="I7" s="9"/>
      <c r="J7" s="9"/>
    </row>
    <row r="8" spans="2:11" hidden="1">
      <c r="B8" s="206" t="s">
        <v>8</v>
      </c>
      <c r="C8" s="3" t="s">
        <v>14</v>
      </c>
      <c r="D8" s="4">
        <v>5.7</v>
      </c>
      <c r="E8" s="4">
        <v>8.4</v>
      </c>
      <c r="F8" s="4">
        <v>12.5</v>
      </c>
      <c r="G8" s="4">
        <v>18.100000000000001</v>
      </c>
      <c r="H8" s="4">
        <v>48.4</v>
      </c>
      <c r="I8" s="4">
        <v>148</v>
      </c>
      <c r="J8" s="4">
        <v>258.7</v>
      </c>
    </row>
    <row r="9" spans="2:11" hidden="1">
      <c r="B9" s="207"/>
      <c r="C9" s="5" t="s">
        <v>13</v>
      </c>
      <c r="D9" s="6">
        <v>1.3</v>
      </c>
      <c r="E9" s="6">
        <v>1.9</v>
      </c>
      <c r="F9" s="6">
        <v>2.8</v>
      </c>
      <c r="G9" s="6">
        <v>4</v>
      </c>
      <c r="H9" s="6">
        <v>11.1</v>
      </c>
      <c r="I9" s="6">
        <v>34</v>
      </c>
      <c r="J9" s="6">
        <v>59.5</v>
      </c>
    </row>
    <row r="10" spans="2:11" hidden="1">
      <c r="B10" s="206" t="s">
        <v>9</v>
      </c>
      <c r="C10" s="3" t="s">
        <v>14</v>
      </c>
      <c r="D10" s="4">
        <v>101.9</v>
      </c>
      <c r="E10" s="4">
        <v>244.4</v>
      </c>
      <c r="F10" s="4">
        <v>446.8</v>
      </c>
      <c r="G10" s="4">
        <v>600.9</v>
      </c>
      <c r="H10" s="4">
        <v>826.7</v>
      </c>
      <c r="I10" s="4">
        <v>1176.2</v>
      </c>
      <c r="J10" s="4">
        <v>1745</v>
      </c>
    </row>
    <row r="11" spans="2:11" hidden="1">
      <c r="B11" s="207"/>
      <c r="C11" s="5" t="s">
        <v>13</v>
      </c>
      <c r="D11" s="6">
        <v>23.3</v>
      </c>
      <c r="E11" s="6">
        <v>56</v>
      </c>
      <c r="F11" s="6">
        <v>102.6</v>
      </c>
      <c r="G11" s="6">
        <v>138.19999999999999</v>
      </c>
      <c r="H11" s="6">
        <v>189</v>
      </c>
      <c r="I11" s="6">
        <v>270.5</v>
      </c>
      <c r="J11" s="6">
        <v>401.4</v>
      </c>
    </row>
    <row r="12" spans="2:11" hidden="1">
      <c r="B12" s="206" t="s">
        <v>10</v>
      </c>
      <c r="C12" s="3" t="s">
        <v>14</v>
      </c>
      <c r="D12" s="4">
        <v>113.2</v>
      </c>
      <c r="E12" s="4">
        <v>145.19999999999999</v>
      </c>
      <c r="F12" s="4">
        <v>356.8</v>
      </c>
      <c r="G12" s="4">
        <v>800.6</v>
      </c>
      <c r="H12" s="4">
        <v>1906.5</v>
      </c>
      <c r="I12" s="4">
        <v>3642.3</v>
      </c>
      <c r="J12" s="4">
        <v>5730.4</v>
      </c>
    </row>
    <row r="13" spans="2:11" hidden="1">
      <c r="B13" s="207"/>
      <c r="C13" s="5" t="s">
        <v>13</v>
      </c>
      <c r="D13" s="6">
        <v>26</v>
      </c>
      <c r="E13" s="6">
        <v>33.4</v>
      </c>
      <c r="F13" s="6">
        <v>82.1</v>
      </c>
      <c r="G13" s="6">
        <v>184.1</v>
      </c>
      <c r="H13" s="6">
        <v>438.5</v>
      </c>
      <c r="I13" s="6">
        <v>837.7</v>
      </c>
      <c r="J13" s="6">
        <v>1318</v>
      </c>
    </row>
    <row r="14" spans="2:11" hidden="1">
      <c r="B14" s="206" t="s">
        <v>11</v>
      </c>
      <c r="C14" s="3" t="s">
        <v>14</v>
      </c>
      <c r="D14" s="4">
        <v>2.8</v>
      </c>
      <c r="E14" s="4">
        <v>8.6</v>
      </c>
      <c r="F14" s="4">
        <v>12.2</v>
      </c>
      <c r="G14" s="4">
        <v>14.8</v>
      </c>
      <c r="H14" s="4">
        <v>17.899999999999999</v>
      </c>
      <c r="I14" s="4">
        <v>21</v>
      </c>
      <c r="J14" s="4">
        <v>23.4</v>
      </c>
    </row>
    <row r="15" spans="2:11" hidden="1">
      <c r="B15" s="207"/>
      <c r="C15" s="5" t="s">
        <v>13</v>
      </c>
      <c r="D15" s="6">
        <v>0.6</v>
      </c>
      <c r="E15" s="6">
        <v>2</v>
      </c>
      <c r="F15" s="6">
        <v>2.8</v>
      </c>
      <c r="G15" s="6">
        <v>3.4</v>
      </c>
      <c r="H15" s="6">
        <v>4.0999999999999996</v>
      </c>
      <c r="I15" s="6">
        <v>4.8</v>
      </c>
      <c r="J15" s="6">
        <v>5.4</v>
      </c>
    </row>
    <row r="16" spans="2:11" hidden="1">
      <c r="B16" s="212" t="s">
        <v>12</v>
      </c>
      <c r="C16" s="19" t="s">
        <v>13</v>
      </c>
      <c r="D16" s="20">
        <v>2.2000000000000002</v>
      </c>
      <c r="E16" s="20">
        <v>5.7</v>
      </c>
      <c r="F16" s="20">
        <v>8.8000000000000007</v>
      </c>
      <c r="G16" s="20">
        <v>11.1</v>
      </c>
      <c r="H16" s="20">
        <v>13.8</v>
      </c>
      <c r="I16" s="20">
        <v>17.8</v>
      </c>
      <c r="J16" s="20">
        <v>26.6</v>
      </c>
    </row>
    <row r="17" spans="2:11" hidden="1">
      <c r="B17" s="213"/>
      <c r="C17" s="21" t="s">
        <v>13</v>
      </c>
      <c r="D17" s="22">
        <v>0.5</v>
      </c>
      <c r="E17" s="22">
        <v>1.3</v>
      </c>
      <c r="F17" s="22">
        <v>2</v>
      </c>
      <c r="G17" s="22">
        <v>2.5</v>
      </c>
      <c r="H17" s="22">
        <v>3.2</v>
      </c>
      <c r="I17" s="22">
        <v>4</v>
      </c>
      <c r="J17" s="22">
        <v>4.8</v>
      </c>
    </row>
    <row r="18" spans="2:11" hidden="1">
      <c r="C18" s="7" t="s">
        <v>16</v>
      </c>
      <c r="D18" s="8">
        <f>SUM(D8:D17)</f>
        <v>277.50000000000006</v>
      </c>
      <c r="E18" s="8">
        <f t="shared" ref="E18:J18" si="0">SUM(E8:E15)</f>
        <v>499.90000000000003</v>
      </c>
      <c r="F18" s="8">
        <f t="shared" si="0"/>
        <v>1018.6</v>
      </c>
      <c r="G18" s="8">
        <f t="shared" si="0"/>
        <v>1764.1000000000001</v>
      </c>
      <c r="H18" s="8">
        <f t="shared" si="0"/>
        <v>3442.2</v>
      </c>
      <c r="I18" s="8">
        <f t="shared" si="0"/>
        <v>6134.5</v>
      </c>
      <c r="J18" s="8">
        <f t="shared" si="0"/>
        <v>9541.7999999999993</v>
      </c>
    </row>
    <row r="19" spans="2:11" hidden="1">
      <c r="B19" s="14"/>
      <c r="C19" s="3" t="s">
        <v>13</v>
      </c>
      <c r="D19" s="4">
        <f>D8+D10+D12+D14+D16</f>
        <v>225.8</v>
      </c>
      <c r="E19" s="4">
        <f t="shared" ref="E19:J20" si="1">E8+E10+E12+E14+E16</f>
        <v>412.3</v>
      </c>
      <c r="F19" s="4">
        <f t="shared" si="1"/>
        <v>837.1</v>
      </c>
      <c r="G19" s="4">
        <f t="shared" si="1"/>
        <v>1445.4999999999998</v>
      </c>
      <c r="H19" s="4">
        <f t="shared" si="1"/>
        <v>2813.3</v>
      </c>
      <c r="I19" s="4">
        <f t="shared" si="1"/>
        <v>5005.3</v>
      </c>
      <c r="J19" s="4">
        <f t="shared" si="1"/>
        <v>7784.0999999999995</v>
      </c>
    </row>
    <row r="20" spans="2:11" hidden="1">
      <c r="C20" s="5" t="s">
        <v>13</v>
      </c>
      <c r="D20" s="6">
        <f>D9+D11+D13+D15+D17</f>
        <v>51.7</v>
      </c>
      <c r="E20" s="6">
        <f t="shared" si="1"/>
        <v>94.6</v>
      </c>
      <c r="F20" s="6">
        <f t="shared" si="1"/>
        <v>192.3</v>
      </c>
      <c r="G20" s="6">
        <f t="shared" si="1"/>
        <v>332.19999999999993</v>
      </c>
      <c r="H20" s="6">
        <f t="shared" si="1"/>
        <v>645.90000000000009</v>
      </c>
      <c r="I20" s="6">
        <f t="shared" si="1"/>
        <v>1151</v>
      </c>
      <c r="J20" s="6">
        <f t="shared" si="1"/>
        <v>1789.1000000000001</v>
      </c>
    </row>
    <row r="21" spans="2:11" ht="36" hidden="1">
      <c r="B21" s="1" t="s">
        <v>4</v>
      </c>
      <c r="C21" s="1" t="s">
        <v>5</v>
      </c>
      <c r="D21" s="208" t="s">
        <v>6</v>
      </c>
      <c r="E21" s="1">
        <v>0.1</v>
      </c>
      <c r="F21" s="1">
        <v>0.04</v>
      </c>
      <c r="G21" s="1">
        <v>0.02</v>
      </c>
      <c r="H21" s="1">
        <v>0.01</v>
      </c>
      <c r="I21" s="1">
        <v>4.0000000000000001E-3</v>
      </c>
      <c r="J21" s="1">
        <v>2E-3</v>
      </c>
    </row>
    <row r="22" spans="2:11" hidden="1">
      <c r="B22" s="210" t="s">
        <v>7</v>
      </c>
      <c r="C22" s="211"/>
      <c r="D22" s="209"/>
      <c r="E22" s="1">
        <v>10</v>
      </c>
      <c r="F22" s="1">
        <v>25</v>
      </c>
      <c r="G22" s="1">
        <v>50</v>
      </c>
      <c r="H22" s="1">
        <v>100</v>
      </c>
      <c r="I22" s="1">
        <v>250</v>
      </c>
      <c r="J22" s="1">
        <v>500</v>
      </c>
      <c r="K22" s="2"/>
    </row>
    <row r="23" spans="2:11" hidden="1">
      <c r="B23" s="9" t="s">
        <v>15</v>
      </c>
      <c r="C23" s="9"/>
      <c r="D23" s="9"/>
      <c r="E23" s="9"/>
      <c r="F23" s="9"/>
      <c r="G23" s="9"/>
      <c r="H23" s="9"/>
      <c r="I23" s="9"/>
      <c r="J23" s="9"/>
    </row>
    <row r="24" spans="2:11" hidden="1">
      <c r="B24" s="206" t="s">
        <v>8</v>
      </c>
      <c r="C24" s="3" t="s">
        <v>23</v>
      </c>
      <c r="D24" s="4">
        <v>5.6161742600000002</v>
      </c>
      <c r="E24" s="4">
        <v>9.6609279999999984</v>
      </c>
      <c r="F24" s="4">
        <v>15.337816</v>
      </c>
      <c r="G24" s="4">
        <v>22.059345999999998</v>
      </c>
      <c r="H24" s="4">
        <v>52.974576999999996</v>
      </c>
      <c r="I24" s="4">
        <v>159.127228</v>
      </c>
      <c r="J24" s="4">
        <v>270.56913000000003</v>
      </c>
    </row>
    <row r="25" spans="2:11" hidden="1">
      <c r="B25" s="207"/>
      <c r="C25" s="5" t="s">
        <v>13</v>
      </c>
      <c r="D25" s="6">
        <v>0.46122179999999996</v>
      </c>
      <c r="E25" s="6">
        <v>1.1099319999999999</v>
      </c>
      <c r="F25" s="6">
        <v>3.5276974299999999</v>
      </c>
      <c r="G25" s="6">
        <v>5.0736491899999994</v>
      </c>
      <c r="H25" s="6">
        <v>12.184152859999999</v>
      </c>
      <c r="I25" s="6">
        <v>36.599262639999999</v>
      </c>
      <c r="J25" s="6">
        <v>62.230900250000005</v>
      </c>
    </row>
    <row r="26" spans="2:11" hidden="1">
      <c r="B26" s="206" t="s">
        <v>9</v>
      </c>
      <c r="C26" s="3" t="s">
        <v>14</v>
      </c>
      <c r="D26" s="4">
        <v>100.59172346</v>
      </c>
      <c r="E26" s="4">
        <v>255.414062</v>
      </c>
      <c r="F26" s="4">
        <v>491.65034900000001</v>
      </c>
      <c r="G26" s="4">
        <v>668.02197200000001</v>
      </c>
      <c r="H26" s="4">
        <v>928.81181400000003</v>
      </c>
      <c r="I26" s="4">
        <v>1296.2749249999999</v>
      </c>
      <c r="J26" s="4">
        <v>1910.15329</v>
      </c>
    </row>
    <row r="27" spans="2:11" hidden="1">
      <c r="B27" s="207"/>
      <c r="C27" s="5" t="s">
        <v>13</v>
      </c>
      <c r="D27" s="6">
        <v>23.136096809999998</v>
      </c>
      <c r="E27" s="6">
        <v>58.72479826</v>
      </c>
      <c r="F27" s="6">
        <v>113.07247627000001</v>
      </c>
      <c r="G27" s="6">
        <v>154.09505356</v>
      </c>
      <c r="H27" s="6">
        <v>213.63671722000001</v>
      </c>
      <c r="I27" s="6">
        <v>298.64323274999998</v>
      </c>
      <c r="J27" s="6">
        <v>440.13525670000001</v>
      </c>
    </row>
    <row r="28" spans="2:11" hidden="1">
      <c r="B28" s="206" t="s">
        <v>10</v>
      </c>
      <c r="C28" s="3" t="s">
        <v>14</v>
      </c>
      <c r="D28" s="4">
        <v>113.11905193</v>
      </c>
      <c r="E28" s="4">
        <v>160.326043</v>
      </c>
      <c r="F28" s="4">
        <v>429.62358499999999</v>
      </c>
      <c r="G28" s="4">
        <v>883.37069900000006</v>
      </c>
      <c r="H28" s="4">
        <v>2030.4737279999999</v>
      </c>
      <c r="I28" s="4">
        <v>3812.4168239999999</v>
      </c>
      <c r="J28" s="4">
        <v>5905.7552029999997</v>
      </c>
    </row>
    <row r="29" spans="2:11" hidden="1">
      <c r="B29" s="207"/>
      <c r="C29" s="5" t="s">
        <v>13</v>
      </c>
      <c r="D29" s="6">
        <v>5.1585591200000005</v>
      </c>
      <c r="E29" s="6">
        <v>14.485548119999999</v>
      </c>
      <c r="F29" s="6">
        <v>98.813424550000008</v>
      </c>
      <c r="G29" s="6">
        <v>203.17526076999999</v>
      </c>
      <c r="H29" s="6">
        <v>467.00895744000002</v>
      </c>
      <c r="I29" s="6">
        <v>876.85586951999994</v>
      </c>
      <c r="J29" s="6">
        <v>1358.3236966899999</v>
      </c>
    </row>
    <row r="30" spans="2:11" hidden="1">
      <c r="B30" s="206" t="s">
        <v>11</v>
      </c>
      <c r="C30" s="3" t="s">
        <v>14</v>
      </c>
      <c r="D30" s="4">
        <v>2.8010446600000001</v>
      </c>
      <c r="E30" s="4">
        <v>8.2029270000000007</v>
      </c>
      <c r="F30" s="4">
        <v>13.353194</v>
      </c>
      <c r="G30" s="4">
        <v>18.130606</v>
      </c>
      <c r="H30" s="4">
        <v>26.166468999999999</v>
      </c>
      <c r="I30" s="4">
        <v>33.489395000000002</v>
      </c>
      <c r="J30" s="4">
        <v>39.903903999999997</v>
      </c>
    </row>
    <row r="31" spans="2:11" hidden="1">
      <c r="B31" s="207"/>
      <c r="C31" s="5" t="s">
        <v>13</v>
      </c>
      <c r="D31" s="6">
        <v>0.56452340000000001</v>
      </c>
      <c r="E31" s="6">
        <v>1.8205631599999998</v>
      </c>
      <c r="F31" s="6">
        <v>3.0712346199999998</v>
      </c>
      <c r="G31" s="6">
        <v>4.1700393799999995</v>
      </c>
      <c r="H31" s="6">
        <v>6.01828787</v>
      </c>
      <c r="I31" s="6">
        <v>7.7025608499999993</v>
      </c>
      <c r="J31" s="6">
        <v>9.1778979199999995</v>
      </c>
    </row>
    <row r="32" spans="2:11" hidden="1">
      <c r="B32" t="s">
        <v>22</v>
      </c>
      <c r="C32" s="7" t="s">
        <v>16</v>
      </c>
      <c r="D32" s="8">
        <f t="shared" ref="D32:J32" si="2">SUM(D24:D31)</f>
        <v>251.44839544000004</v>
      </c>
      <c r="E32" s="8">
        <f t="shared" si="2"/>
        <v>509.74480153999997</v>
      </c>
      <c r="F32" s="8">
        <f t="shared" si="2"/>
        <v>1168.4497768700001</v>
      </c>
      <c r="G32" s="8">
        <f t="shared" si="2"/>
        <v>1958.0966258999999</v>
      </c>
      <c r="H32" s="8">
        <f t="shared" si="2"/>
        <v>3737.27470339</v>
      </c>
      <c r="I32" s="8">
        <f t="shared" si="2"/>
        <v>6521.1092977599992</v>
      </c>
      <c r="J32" s="8">
        <f t="shared" si="2"/>
        <v>9996.2492785600007</v>
      </c>
    </row>
    <row r="33" spans="2:11" hidden="1">
      <c r="B33" s="14"/>
      <c r="C33" s="3" t="s">
        <v>13</v>
      </c>
      <c r="D33" s="4">
        <f>D24+D26+D28+D30</f>
        <v>222.12799430999999</v>
      </c>
      <c r="E33" s="4">
        <f t="shared" ref="E33:J34" si="3">E24+E26+E28+E30</f>
        <v>433.60395999999997</v>
      </c>
      <c r="F33" s="4">
        <f t="shared" si="3"/>
        <v>949.96494400000006</v>
      </c>
      <c r="G33" s="4">
        <f t="shared" si="3"/>
        <v>1591.582623</v>
      </c>
      <c r="H33" s="4">
        <f t="shared" si="3"/>
        <v>3038.4265879999998</v>
      </c>
      <c r="I33" s="4">
        <f t="shared" si="3"/>
        <v>5301.3083719999995</v>
      </c>
      <c r="J33" s="4">
        <f t="shared" si="3"/>
        <v>8126.3815269999996</v>
      </c>
    </row>
    <row r="34" spans="2:11" hidden="1">
      <c r="C34" s="160" t="s">
        <v>13</v>
      </c>
      <c r="D34" s="6">
        <f>D25+D27+D29+D31</f>
        <v>29.320401129999997</v>
      </c>
      <c r="E34" s="6">
        <f t="shared" si="3"/>
        <v>76.140841540000011</v>
      </c>
      <c r="F34" s="6">
        <f t="shared" si="3"/>
        <v>218.48483287000002</v>
      </c>
      <c r="G34" s="6">
        <f t="shared" si="3"/>
        <v>366.51400289999998</v>
      </c>
      <c r="H34" s="6">
        <f t="shared" si="3"/>
        <v>698.84811538999998</v>
      </c>
      <c r="I34" s="6">
        <f t="shared" si="3"/>
        <v>1219.8009257599999</v>
      </c>
      <c r="J34" s="6">
        <f t="shared" si="3"/>
        <v>1869.86775156</v>
      </c>
    </row>
    <row r="35" spans="2:11">
      <c r="C35" s="162" t="s">
        <v>87</v>
      </c>
    </row>
    <row r="36" spans="2:11">
      <c r="B36" s="158" t="s">
        <v>14</v>
      </c>
      <c r="C36" s="163">
        <v>0.05</v>
      </c>
    </row>
    <row r="37" spans="2:11" ht="15.75" thickBot="1">
      <c r="B37" s="159" t="s">
        <v>13</v>
      </c>
      <c r="C37" s="164">
        <v>0.1</v>
      </c>
    </row>
    <row r="38" spans="2:11" ht="36">
      <c r="B38" s="1" t="s">
        <v>4</v>
      </c>
      <c r="C38" s="161" t="s">
        <v>5</v>
      </c>
      <c r="D38" s="208" t="s">
        <v>6</v>
      </c>
      <c r="E38" s="1">
        <v>0.1</v>
      </c>
      <c r="F38" s="1">
        <v>0.04</v>
      </c>
      <c r="G38" s="1">
        <v>0.02</v>
      </c>
      <c r="H38" s="1">
        <v>0.01</v>
      </c>
      <c r="I38" s="1">
        <v>4.0000000000000001E-3</v>
      </c>
      <c r="J38" s="1">
        <v>2E-3</v>
      </c>
    </row>
    <row r="39" spans="2:11">
      <c r="B39" s="210" t="s">
        <v>7</v>
      </c>
      <c r="C39" s="211"/>
      <c r="D39" s="209"/>
      <c r="E39" s="1">
        <v>10</v>
      </c>
      <c r="F39" s="1">
        <v>25</v>
      </c>
      <c r="G39" s="1">
        <v>50</v>
      </c>
      <c r="H39" s="1">
        <v>100</v>
      </c>
      <c r="I39" s="1">
        <v>250</v>
      </c>
      <c r="J39" s="1">
        <v>500</v>
      </c>
      <c r="K39" s="2"/>
    </row>
    <row r="40" spans="2:11">
      <c r="B40" s="10" t="s">
        <v>18</v>
      </c>
      <c r="C40" s="10"/>
      <c r="D40" s="10"/>
      <c r="E40" s="10"/>
      <c r="F40" s="10"/>
      <c r="G40" s="10"/>
      <c r="H40" s="10"/>
      <c r="I40" s="10"/>
      <c r="J40" s="10"/>
    </row>
    <row r="41" spans="2:11">
      <c r="B41" s="206" t="s">
        <v>8</v>
      </c>
      <c r="C41" s="3" t="s">
        <v>21</v>
      </c>
      <c r="D41" s="15">
        <f>D24*$C$36*1000000</f>
        <v>280808.71300000005</v>
      </c>
      <c r="E41" s="15">
        <f t="shared" ref="E41:J41" si="4">E24*$C$36*1000000</f>
        <v>483046.39999999991</v>
      </c>
      <c r="F41" s="15">
        <f t="shared" si="4"/>
        <v>766890.8</v>
      </c>
      <c r="G41" s="15">
        <f t="shared" si="4"/>
        <v>1102967.3</v>
      </c>
      <c r="H41" s="15">
        <f t="shared" si="4"/>
        <v>2648728.85</v>
      </c>
      <c r="I41" s="15">
        <f t="shared" si="4"/>
        <v>7956361.4000000004</v>
      </c>
      <c r="J41" s="15">
        <f t="shared" si="4"/>
        <v>13528456.500000002</v>
      </c>
    </row>
    <row r="42" spans="2:11">
      <c r="B42" s="207"/>
      <c r="C42" s="5" t="s">
        <v>20</v>
      </c>
      <c r="D42" s="16">
        <f>D25*$C$37*1000000</f>
        <v>46122.18</v>
      </c>
      <c r="E42" s="16">
        <f t="shared" ref="E42:J48" si="5">E25*$C$37*1000000</f>
        <v>110993.2</v>
      </c>
      <c r="F42" s="16">
        <f t="shared" si="5"/>
        <v>352769.74300000002</v>
      </c>
      <c r="G42" s="16">
        <f t="shared" si="5"/>
        <v>507364.91899999994</v>
      </c>
      <c r="H42" s="16">
        <f t="shared" si="5"/>
        <v>1218415.2859999998</v>
      </c>
      <c r="I42" s="16">
        <f t="shared" si="5"/>
        <v>3659926.264</v>
      </c>
      <c r="J42" s="16">
        <f t="shared" si="5"/>
        <v>6223090.0250000013</v>
      </c>
    </row>
    <row r="43" spans="2:11">
      <c r="B43" s="206" t="s">
        <v>9</v>
      </c>
      <c r="C43" s="3" t="s">
        <v>21</v>
      </c>
      <c r="D43" s="15">
        <f t="shared" ref="D43:J43" si="6">D26*$C$36*1000000</f>
        <v>5029586.1730000004</v>
      </c>
      <c r="E43" s="15">
        <f t="shared" si="6"/>
        <v>12770703.1</v>
      </c>
      <c r="F43" s="15">
        <f t="shared" si="6"/>
        <v>24582517.449999999</v>
      </c>
      <c r="G43" s="15">
        <f t="shared" si="6"/>
        <v>33401098.600000005</v>
      </c>
      <c r="H43" s="15">
        <f t="shared" si="6"/>
        <v>46440590.700000003</v>
      </c>
      <c r="I43" s="15">
        <f t="shared" si="6"/>
        <v>64813746.249999993</v>
      </c>
      <c r="J43" s="15">
        <f t="shared" si="6"/>
        <v>95507664.5</v>
      </c>
    </row>
    <row r="44" spans="2:11">
      <c r="B44" s="207"/>
      <c r="C44" s="5" t="s">
        <v>20</v>
      </c>
      <c r="D44" s="16">
        <f>D27*$C$37*1000000</f>
        <v>2313609.6809999999</v>
      </c>
      <c r="E44" s="16">
        <f t="shared" si="5"/>
        <v>5872479.8260000004</v>
      </c>
      <c r="F44" s="16">
        <f t="shared" si="5"/>
        <v>11307247.627000002</v>
      </c>
      <c r="G44" s="16">
        <f t="shared" si="5"/>
        <v>15409505.356000001</v>
      </c>
      <c r="H44" s="16">
        <f t="shared" si="5"/>
        <v>21363671.722000003</v>
      </c>
      <c r="I44" s="16">
        <f t="shared" si="5"/>
        <v>29864323.274999999</v>
      </c>
      <c r="J44" s="16">
        <f t="shared" si="5"/>
        <v>44013525.670000009</v>
      </c>
    </row>
    <row r="45" spans="2:11">
      <c r="B45" s="206" t="s">
        <v>10</v>
      </c>
      <c r="C45" s="3" t="s">
        <v>21</v>
      </c>
      <c r="D45" s="15">
        <f t="shared" ref="D45:J45" si="7">D28*$C$36*1000000</f>
        <v>5655952.5965000009</v>
      </c>
      <c r="E45" s="15">
        <f t="shared" si="7"/>
        <v>8016302.1499999994</v>
      </c>
      <c r="F45" s="15">
        <f t="shared" si="7"/>
        <v>21481179.25</v>
      </c>
      <c r="G45" s="15">
        <f t="shared" si="7"/>
        <v>44168534.95000001</v>
      </c>
      <c r="H45" s="15">
        <f t="shared" si="7"/>
        <v>101523686.40000001</v>
      </c>
      <c r="I45" s="15">
        <f t="shared" si="7"/>
        <v>190620841.19999999</v>
      </c>
      <c r="J45" s="15">
        <f t="shared" si="7"/>
        <v>295287760.14999998</v>
      </c>
    </row>
    <row r="46" spans="2:11">
      <c r="B46" s="207"/>
      <c r="C46" s="5" t="s">
        <v>20</v>
      </c>
      <c r="D46" s="16">
        <f>D29*$C$37*1000000</f>
        <v>515855.91200000001</v>
      </c>
      <c r="E46" s="16">
        <f t="shared" si="5"/>
        <v>1448554.8119999999</v>
      </c>
      <c r="F46" s="16">
        <f t="shared" si="5"/>
        <v>9881342.4550000019</v>
      </c>
      <c r="G46" s="16">
        <f t="shared" si="5"/>
        <v>20317526.077</v>
      </c>
      <c r="H46" s="16">
        <f t="shared" si="5"/>
        <v>46700895.74400001</v>
      </c>
      <c r="I46" s="16">
        <f t="shared" si="5"/>
        <v>87685586.951999992</v>
      </c>
      <c r="J46" s="16">
        <f t="shared" si="5"/>
        <v>135832369.669</v>
      </c>
    </row>
    <row r="47" spans="2:11">
      <c r="B47" s="206" t="s">
        <v>11</v>
      </c>
      <c r="C47" s="3" t="s">
        <v>21</v>
      </c>
      <c r="D47" s="15">
        <f t="shared" ref="D47:J47" si="8">D30*$C$36*1000000</f>
        <v>140052.23300000001</v>
      </c>
      <c r="E47" s="15">
        <f t="shared" si="8"/>
        <v>410146.35000000003</v>
      </c>
      <c r="F47" s="15">
        <f t="shared" si="8"/>
        <v>667659.70000000007</v>
      </c>
      <c r="G47" s="15">
        <f t="shared" si="8"/>
        <v>906530.3</v>
      </c>
      <c r="H47" s="15">
        <f t="shared" si="8"/>
        <v>1308323.45</v>
      </c>
      <c r="I47" s="15">
        <f t="shared" si="8"/>
        <v>1674469.75</v>
      </c>
      <c r="J47" s="15">
        <f t="shared" si="8"/>
        <v>1995195.2</v>
      </c>
    </row>
    <row r="48" spans="2:11">
      <c r="B48" s="207"/>
      <c r="C48" s="5" t="s">
        <v>20</v>
      </c>
      <c r="D48" s="16">
        <f>D31*$C$37*1000000</f>
        <v>56452.340000000004</v>
      </c>
      <c r="E48" s="16">
        <f t="shared" si="5"/>
        <v>182056.31599999999</v>
      </c>
      <c r="F48" s="16">
        <f t="shared" si="5"/>
        <v>307123.462</v>
      </c>
      <c r="G48" s="16">
        <f t="shared" si="5"/>
        <v>417003.93799999997</v>
      </c>
      <c r="H48" s="16">
        <f t="shared" si="5"/>
        <v>601828.78700000013</v>
      </c>
      <c r="I48" s="16">
        <f t="shared" si="5"/>
        <v>770256.08499999996</v>
      </c>
      <c r="J48" s="16">
        <f t="shared" si="5"/>
        <v>917789.79200000002</v>
      </c>
    </row>
    <row r="49" spans="2:10">
      <c r="B49" s="206" t="s">
        <v>12</v>
      </c>
      <c r="C49" s="3" t="s">
        <v>21</v>
      </c>
      <c r="D49" s="15"/>
      <c r="E49" s="15"/>
      <c r="F49" s="15"/>
      <c r="G49" s="15"/>
      <c r="H49" s="15"/>
      <c r="I49" s="15"/>
      <c r="J49" s="15"/>
    </row>
    <row r="50" spans="2:10">
      <c r="B50" s="207"/>
      <c r="C50" s="5" t="s">
        <v>20</v>
      </c>
      <c r="D50" s="16"/>
      <c r="E50" s="16"/>
      <c r="F50" s="16"/>
      <c r="G50" s="16"/>
      <c r="H50" s="16"/>
      <c r="I50" s="16"/>
      <c r="J50" s="16"/>
    </row>
    <row r="51" spans="2:10">
      <c r="C51" s="7" t="s">
        <v>16</v>
      </c>
      <c r="D51" s="17">
        <f>SUM(D41:D50)</f>
        <v>14038439.828500003</v>
      </c>
      <c r="E51" s="17">
        <f t="shared" ref="E51:J51" si="9">SUM(E41:E50)</f>
        <v>29294282.153999999</v>
      </c>
      <c r="F51" s="17">
        <f t="shared" si="9"/>
        <v>69346730.487000003</v>
      </c>
      <c r="G51" s="17">
        <f t="shared" si="9"/>
        <v>116230531.44000001</v>
      </c>
      <c r="H51" s="17">
        <f t="shared" si="9"/>
        <v>221806140.93900001</v>
      </c>
      <c r="I51" s="17">
        <f t="shared" si="9"/>
        <v>387045511.17599994</v>
      </c>
      <c r="J51" s="17">
        <f t="shared" si="9"/>
        <v>593305851.50600016</v>
      </c>
    </row>
    <row r="52" spans="2:10" s="13" customFormat="1">
      <c r="C52" s="3" t="s">
        <v>21</v>
      </c>
      <c r="D52" s="15">
        <f>SUM(D41+D43+D45+D47+D49)</f>
        <v>11106399.715500001</v>
      </c>
      <c r="E52" s="15">
        <f t="shared" ref="E52:J53" si="10">SUM(E41+E43+E45+E47+E49)</f>
        <v>21680198</v>
      </c>
      <c r="F52" s="15">
        <f t="shared" si="10"/>
        <v>47498247.200000003</v>
      </c>
      <c r="G52" s="15">
        <f t="shared" si="10"/>
        <v>79579131.150000021</v>
      </c>
      <c r="H52" s="15">
        <f t="shared" si="10"/>
        <v>151921329.40000001</v>
      </c>
      <c r="I52" s="15">
        <f t="shared" si="10"/>
        <v>265065418.59999996</v>
      </c>
      <c r="J52" s="15">
        <f t="shared" si="10"/>
        <v>406319076.34999996</v>
      </c>
    </row>
    <row r="53" spans="2:10" s="13" customFormat="1">
      <c r="C53" s="5" t="s">
        <v>20</v>
      </c>
      <c r="D53" s="16">
        <f>SUM(D42+D44+D46+D48+D50)</f>
        <v>2932040.1129999999</v>
      </c>
      <c r="E53" s="16">
        <f t="shared" si="10"/>
        <v>7614084.1540000001</v>
      </c>
      <c r="F53" s="16">
        <f t="shared" si="10"/>
        <v>21848483.287000004</v>
      </c>
      <c r="G53" s="16">
        <f t="shared" si="10"/>
        <v>36651400.289999999</v>
      </c>
      <c r="H53" s="16">
        <f t="shared" si="10"/>
        <v>69884811.539000005</v>
      </c>
      <c r="I53" s="16">
        <f t="shared" si="10"/>
        <v>121980092.57599999</v>
      </c>
      <c r="J53" s="16">
        <f t="shared" si="10"/>
        <v>186986775.15600002</v>
      </c>
    </row>
  </sheetData>
  <mergeCells count="20">
    <mergeCell ref="B47:B48"/>
    <mergeCell ref="B49:B50"/>
    <mergeCell ref="B30:B31"/>
    <mergeCell ref="D38:D39"/>
    <mergeCell ref="B39:C39"/>
    <mergeCell ref="B41:B42"/>
    <mergeCell ref="B43:B44"/>
    <mergeCell ref="B45:B46"/>
    <mergeCell ref="B28:B29"/>
    <mergeCell ref="D5:D6"/>
    <mergeCell ref="B6:C6"/>
    <mergeCell ref="B8:B9"/>
    <mergeCell ref="B10:B11"/>
    <mergeCell ref="B12:B13"/>
    <mergeCell ref="B14:B15"/>
    <mergeCell ref="B16:B17"/>
    <mergeCell ref="D21:D22"/>
    <mergeCell ref="B22:C22"/>
    <mergeCell ref="B24:B25"/>
    <mergeCell ref="B26:B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3AF6-82BF-4E37-9E18-B9DDB6EDE1D4}">
  <dimension ref="A1:M61"/>
  <sheetViews>
    <sheetView workbookViewId="0">
      <selection activeCell="I40" sqref="I40"/>
    </sheetView>
  </sheetViews>
  <sheetFormatPr baseColWidth="10" defaultRowHeight="15"/>
  <cols>
    <col min="2" max="6" width="18.85546875" customWidth="1"/>
    <col min="7" max="7" width="5.7109375" customWidth="1"/>
    <col min="8" max="15" width="18.85546875" customWidth="1"/>
    <col min="16" max="16" width="19" bestFit="1" customWidth="1"/>
  </cols>
  <sheetData>
    <row r="1" spans="1:13" ht="15.75" thickBot="1"/>
    <row r="2" spans="1:13">
      <c r="B2" s="165" t="s">
        <v>87</v>
      </c>
    </row>
    <row r="3" spans="1:13">
      <c r="A3" s="134" t="s">
        <v>40</v>
      </c>
      <c r="B3" s="166">
        <v>0.1</v>
      </c>
      <c r="C3" s="134" t="s">
        <v>41</v>
      </c>
      <c r="D3" s="134"/>
    </row>
    <row r="4" spans="1:13" ht="15.75" thickBot="1">
      <c r="A4" s="134"/>
      <c r="B4" s="167">
        <v>0.1</v>
      </c>
      <c r="C4" s="134" t="s">
        <v>42</v>
      </c>
      <c r="D4" s="134"/>
    </row>
    <row r="5" spans="1:13">
      <c r="B5" s="214" t="s">
        <v>0</v>
      </c>
      <c r="C5" s="215"/>
      <c r="D5" s="216"/>
      <c r="E5" s="30"/>
      <c r="F5" s="31"/>
      <c r="I5" s="217" t="s">
        <v>1</v>
      </c>
      <c r="J5" s="215"/>
      <c r="K5" s="216"/>
      <c r="L5" s="30"/>
      <c r="M5" s="31"/>
    </row>
    <row r="6" spans="1:13" ht="71.25" customHeight="1">
      <c r="B6" s="79" t="s">
        <v>92</v>
      </c>
      <c r="C6" s="80" t="s">
        <v>43</v>
      </c>
      <c r="D6" s="81" t="s">
        <v>44</v>
      </c>
      <c r="E6" s="82" t="s">
        <v>61</v>
      </c>
      <c r="F6" s="32" t="s">
        <v>46</v>
      </c>
      <c r="I6" s="79" t="s">
        <v>92</v>
      </c>
      <c r="J6" s="80" t="s">
        <v>43</v>
      </c>
      <c r="K6" s="81" t="s">
        <v>44</v>
      </c>
      <c r="L6" s="82" t="s">
        <v>61</v>
      </c>
      <c r="M6" s="32" t="s">
        <v>46</v>
      </c>
    </row>
    <row r="7" spans="1:13">
      <c r="A7" s="182">
        <v>2011</v>
      </c>
      <c r="B7" s="33">
        <v>3666887.8985239998</v>
      </c>
      <c r="C7" s="34">
        <v>122.54</v>
      </c>
      <c r="D7" s="35">
        <f>B7*(1+(C7-100)/100)</f>
        <v>4493404.4308513096</v>
      </c>
      <c r="E7" s="18">
        <f>D7*$B$4</f>
        <v>449340.443085131</v>
      </c>
      <c r="F7" s="18">
        <f>E7*$B$3</f>
        <v>44934.044308513105</v>
      </c>
      <c r="H7" s="182">
        <v>2011</v>
      </c>
      <c r="I7" s="33">
        <v>71045.545469999997</v>
      </c>
      <c r="J7" s="34">
        <f t="shared" ref="J7:J12" si="0">C7</f>
        <v>122.54</v>
      </c>
      <c r="K7" s="18">
        <f>I7*(1+(J7-100)/100)</f>
        <v>87059.211418937994</v>
      </c>
      <c r="L7" s="18">
        <f>K7*$B$4</f>
        <v>8705.9211418937994</v>
      </c>
      <c r="M7" s="18">
        <f>L7*$B$3</f>
        <v>870.59211418938003</v>
      </c>
    </row>
    <row r="8" spans="1:13">
      <c r="A8" s="183">
        <v>2012</v>
      </c>
      <c r="B8" s="36">
        <v>3831724.0707379999</v>
      </c>
      <c r="C8">
        <v>128.05000000000001</v>
      </c>
      <c r="D8" s="35">
        <f t="shared" ref="D8:D12" si="1">B8*(1+(C8-100)/100)</f>
        <v>4906522.6725800093</v>
      </c>
      <c r="E8" s="18">
        <f t="shared" ref="E8:E12" si="2">D8*$B$4</f>
        <v>490652.26725800097</v>
      </c>
      <c r="F8" s="18">
        <f t="shared" ref="F8:F12" si="3">E8*$B$3</f>
        <v>49065.226725800101</v>
      </c>
      <c r="H8" s="183">
        <v>2012</v>
      </c>
      <c r="I8" s="36">
        <v>68385.472745000006</v>
      </c>
      <c r="J8">
        <f t="shared" si="0"/>
        <v>128.05000000000001</v>
      </c>
      <c r="K8" s="18">
        <f t="shared" ref="K8:K12" si="4">I8*(1+(J8-100)/100)</f>
        <v>87567.597849972517</v>
      </c>
      <c r="L8" s="18">
        <f t="shared" ref="L8:L12" si="5">K8*$B$4</f>
        <v>8756.7597849972517</v>
      </c>
      <c r="M8" s="18">
        <f t="shared" ref="M8:M12" si="6">L8*$B$3</f>
        <v>875.67597849972526</v>
      </c>
    </row>
    <row r="9" spans="1:13">
      <c r="A9" s="183">
        <v>2013</v>
      </c>
      <c r="B9" s="36">
        <v>3509099.8627280002</v>
      </c>
      <c r="C9">
        <v>117.27</v>
      </c>
      <c r="D9" s="35">
        <f t="shared" si="1"/>
        <v>4115121.4090211252</v>
      </c>
      <c r="E9" s="18">
        <f t="shared" si="2"/>
        <v>411512.14090211253</v>
      </c>
      <c r="F9" s="18">
        <f t="shared" si="3"/>
        <v>41151.214090211259</v>
      </c>
      <c r="H9" s="183">
        <v>2013</v>
      </c>
      <c r="I9" s="36">
        <v>71283.398126</v>
      </c>
      <c r="J9">
        <f t="shared" si="0"/>
        <v>117.27</v>
      </c>
      <c r="K9" s="18">
        <f t="shared" si="4"/>
        <v>83594.040982360195</v>
      </c>
      <c r="L9" s="18">
        <f t="shared" si="5"/>
        <v>8359.4040982360202</v>
      </c>
      <c r="M9" s="18">
        <f t="shared" si="6"/>
        <v>835.94040982360207</v>
      </c>
    </row>
    <row r="10" spans="1:13">
      <c r="A10" s="183">
        <v>2014</v>
      </c>
      <c r="B10" s="36">
        <v>3608639.093351</v>
      </c>
      <c r="C10">
        <v>120.59</v>
      </c>
      <c r="D10" s="35">
        <f t="shared" si="1"/>
        <v>4351657.8826719709</v>
      </c>
      <c r="E10" s="18">
        <f t="shared" si="2"/>
        <v>435165.78826719709</v>
      </c>
      <c r="F10" s="18">
        <f t="shared" si="3"/>
        <v>43516.578826719713</v>
      </c>
      <c r="H10" s="183">
        <v>2014</v>
      </c>
      <c r="I10" s="36">
        <v>70973.742100000003</v>
      </c>
      <c r="J10">
        <f t="shared" si="0"/>
        <v>120.59</v>
      </c>
      <c r="K10" s="18">
        <f t="shared" si="4"/>
        <v>85587.235598390005</v>
      </c>
      <c r="L10" s="18">
        <f t="shared" si="5"/>
        <v>8558.7235598390016</v>
      </c>
      <c r="M10" s="18">
        <f t="shared" si="6"/>
        <v>855.87235598390021</v>
      </c>
    </row>
    <row r="11" spans="1:13">
      <c r="A11" s="183">
        <v>2015</v>
      </c>
      <c r="B11" s="36">
        <v>3505305.9689199999</v>
      </c>
      <c r="C11">
        <v>117.14</v>
      </c>
      <c r="D11" s="35">
        <f t="shared" si="1"/>
        <v>4106115.411992888</v>
      </c>
      <c r="E11" s="18">
        <f t="shared" si="2"/>
        <v>410611.5411992888</v>
      </c>
      <c r="F11" s="18">
        <f t="shared" si="3"/>
        <v>41061.154119928884</v>
      </c>
      <c r="H11" s="183">
        <v>2015</v>
      </c>
      <c r="I11" s="36">
        <v>72700.451858</v>
      </c>
      <c r="J11">
        <f t="shared" si="0"/>
        <v>117.14</v>
      </c>
      <c r="K11" s="18">
        <f t="shared" si="4"/>
        <v>85161.309306461204</v>
      </c>
      <c r="L11" s="18">
        <f t="shared" si="5"/>
        <v>8516.1309306461208</v>
      </c>
      <c r="M11" s="18">
        <f t="shared" si="6"/>
        <v>851.61309306461214</v>
      </c>
    </row>
    <row r="12" spans="1:13">
      <c r="A12" s="184">
        <v>2016</v>
      </c>
      <c r="B12" s="36">
        <v>3538442.142891</v>
      </c>
      <c r="C12">
        <v>118.25</v>
      </c>
      <c r="D12" s="35">
        <f t="shared" si="1"/>
        <v>4184207.8339686077</v>
      </c>
      <c r="E12" s="18">
        <f t="shared" si="2"/>
        <v>418420.78339686082</v>
      </c>
      <c r="F12" s="18">
        <f t="shared" si="3"/>
        <v>41842.078339686086</v>
      </c>
      <c r="H12" s="184">
        <v>2016</v>
      </c>
      <c r="I12" s="36">
        <v>73177.121119999996</v>
      </c>
      <c r="J12">
        <f t="shared" si="0"/>
        <v>118.25</v>
      </c>
      <c r="K12" s="18">
        <f t="shared" si="4"/>
        <v>86531.945724400008</v>
      </c>
      <c r="L12" s="18">
        <f t="shared" si="5"/>
        <v>8653.1945724400011</v>
      </c>
      <c r="M12" s="18">
        <f t="shared" si="6"/>
        <v>865.3194572440002</v>
      </c>
    </row>
    <row r="13" spans="1:13">
      <c r="B13" s="37"/>
      <c r="C13" s="38" t="s">
        <v>90</v>
      </c>
      <c r="D13" s="39">
        <f>AVERAGE(D7:D12)</f>
        <v>4359504.9401809843</v>
      </c>
      <c r="E13" s="39">
        <f>AVERAGE(E7:E12)</f>
        <v>435950.49401809851</v>
      </c>
      <c r="F13" s="39">
        <f>AVERAGE(F7:F12)</f>
        <v>43595.049401809862</v>
      </c>
      <c r="I13" s="37"/>
      <c r="J13" s="38" t="s">
        <v>90</v>
      </c>
      <c r="K13" s="39">
        <f>AVERAGE(K7:K12)</f>
        <v>85916.890146753649</v>
      </c>
      <c r="L13" s="39">
        <f>AVERAGE(L7:L12)</f>
        <v>8591.6890146753649</v>
      </c>
      <c r="M13" s="39">
        <f>AVERAGE(M7:M12)</f>
        <v>859.16890146753667</v>
      </c>
    </row>
    <row r="14" spans="1:13">
      <c r="A14" s="40" t="s">
        <v>47</v>
      </c>
      <c r="B14" s="40"/>
      <c r="C14" s="40"/>
      <c r="D14" s="41">
        <f>D13*1000</f>
        <v>4359504940.1809845</v>
      </c>
      <c r="E14" s="41"/>
      <c r="F14" s="41">
        <f>F13*1000</f>
        <v>43595049.401809864</v>
      </c>
      <c r="H14" s="40" t="s">
        <v>47</v>
      </c>
      <c r="I14" s="40"/>
      <c r="J14" s="40"/>
      <c r="K14" s="41">
        <f>K13*1000</f>
        <v>85916890.146753654</v>
      </c>
      <c r="L14" s="41"/>
      <c r="M14" s="41">
        <f>M13*1000</f>
        <v>859168.90146753669</v>
      </c>
    </row>
    <row r="15" spans="1:13">
      <c r="A15" s="40" t="s">
        <v>48</v>
      </c>
      <c r="B15" s="40"/>
      <c r="C15" s="40"/>
      <c r="D15" s="41">
        <f>D14+F14</f>
        <v>4403099989.5827942</v>
      </c>
      <c r="E15" s="41"/>
      <c r="F15" s="41"/>
      <c r="H15" s="40" t="s">
        <v>48</v>
      </c>
      <c r="I15" s="40"/>
      <c r="J15" s="40"/>
      <c r="K15" s="41">
        <f>K14+M14</f>
        <v>86776059.048221186</v>
      </c>
      <c r="L15" s="41"/>
      <c r="M15" s="41"/>
    </row>
    <row r="16" spans="1:13">
      <c r="A16" s="40" t="s">
        <v>49</v>
      </c>
      <c r="B16" s="40"/>
      <c r="C16" s="40"/>
      <c r="D16" s="42">
        <f>(D15-D14)</f>
        <v>43595049.401809692</v>
      </c>
      <c r="E16" s="42"/>
      <c r="F16" s="42"/>
      <c r="H16" s="40" t="s">
        <v>49</v>
      </c>
      <c r="I16" s="40"/>
      <c r="J16" s="40"/>
      <c r="K16" s="42">
        <f>(K15-K14)</f>
        <v>859168.90146753192</v>
      </c>
      <c r="L16" s="42"/>
      <c r="M16" s="42"/>
    </row>
    <row r="18" spans="1:13">
      <c r="B18" s="217" t="s">
        <v>2</v>
      </c>
      <c r="C18" s="215"/>
      <c r="D18" s="216"/>
      <c r="E18" s="30"/>
      <c r="F18" s="31"/>
      <c r="I18" s="217" t="s">
        <v>3</v>
      </c>
      <c r="J18" s="215"/>
      <c r="K18" s="216"/>
      <c r="L18" s="30"/>
      <c r="M18" s="31"/>
    </row>
    <row r="19" spans="1:13" ht="90">
      <c r="B19" s="79" t="s">
        <v>92</v>
      </c>
      <c r="C19" s="80" t="s">
        <v>43</v>
      </c>
      <c r="D19" s="81" t="s">
        <v>44</v>
      </c>
      <c r="E19" s="82" t="s">
        <v>45</v>
      </c>
      <c r="F19" s="32" t="s">
        <v>46</v>
      </c>
      <c r="I19" s="79" t="s">
        <v>92</v>
      </c>
      <c r="J19" s="80" t="s">
        <v>43</v>
      </c>
      <c r="K19" s="81" t="s">
        <v>44</v>
      </c>
      <c r="L19" s="82" t="s">
        <v>45</v>
      </c>
      <c r="M19" s="32" t="s">
        <v>50</v>
      </c>
    </row>
    <row r="20" spans="1:13">
      <c r="A20" s="43">
        <v>2011</v>
      </c>
      <c r="B20" s="33">
        <v>5054.7606100000003</v>
      </c>
      <c r="C20" s="34">
        <f>C7</f>
        <v>122.54</v>
      </c>
      <c r="D20" s="35">
        <f>B20*(1+(C20-100)/100)</f>
        <v>6194.1036514940006</v>
      </c>
      <c r="E20" s="18">
        <f>D20*$B$4</f>
        <v>619.41036514940015</v>
      </c>
      <c r="F20" s="18">
        <f>E20*$B$3</f>
        <v>61.941036514940016</v>
      </c>
      <c r="H20" s="182">
        <v>2011</v>
      </c>
      <c r="I20" s="36">
        <v>254621.76509299999</v>
      </c>
      <c r="J20" s="44">
        <v>613.15420774040001</v>
      </c>
      <c r="K20" s="18">
        <f>I20*(1+(J20-100)/100)</f>
        <v>1561224.0664906064</v>
      </c>
      <c r="L20" s="18">
        <f>K20*$B$4</f>
        <v>156122.40664906063</v>
      </c>
      <c r="M20" s="18">
        <f>L20*$B$3</f>
        <v>15612.240664906065</v>
      </c>
    </row>
    <row r="21" spans="1:13">
      <c r="A21" s="45">
        <v>2012</v>
      </c>
      <c r="B21" s="36">
        <v>5098.171472</v>
      </c>
      <c r="C21">
        <f t="shared" ref="C21:C25" si="7">C8</f>
        <v>128.05000000000001</v>
      </c>
      <c r="D21" s="35">
        <f t="shared" ref="D21:D25" si="8">B21*(1+(C21-100)/100)</f>
        <v>6528.2085698960009</v>
      </c>
      <c r="E21" s="18">
        <f t="shared" ref="E21:E25" si="9">D21*$B$4</f>
        <v>652.82085698960009</v>
      </c>
      <c r="F21" s="18">
        <f t="shared" ref="F21:F25" si="10">E21*$B$3</f>
        <v>65.282085698960017</v>
      </c>
      <c r="H21" s="183">
        <v>2012</v>
      </c>
      <c r="I21" s="36">
        <v>248185.316097</v>
      </c>
      <c r="J21" s="46">
        <v>689.4484301704</v>
      </c>
      <c r="K21" s="18">
        <f t="shared" ref="K21:K25" si="11">I21*(1+(J21-100)/100)</f>
        <v>1711109.7657442116</v>
      </c>
      <c r="L21" s="18">
        <f t="shared" ref="L21:L25" si="12">K21*$B$4</f>
        <v>171110.97657442116</v>
      </c>
      <c r="M21" s="18">
        <f t="shared" ref="M21:M25" si="13">L21*$B$3</f>
        <v>17111.097657442118</v>
      </c>
    </row>
    <row r="22" spans="1:13">
      <c r="A22" s="45">
        <v>2013</v>
      </c>
      <c r="B22" s="36">
        <v>5204.7634959999996</v>
      </c>
      <c r="C22">
        <f t="shared" si="7"/>
        <v>117.27</v>
      </c>
      <c r="D22" s="35">
        <f t="shared" si="8"/>
        <v>6103.6261517591984</v>
      </c>
      <c r="E22" s="18">
        <f t="shared" si="9"/>
        <v>610.36261517591981</v>
      </c>
      <c r="F22" s="18">
        <f t="shared" si="10"/>
        <v>61.036261517591981</v>
      </c>
      <c r="H22" s="183">
        <v>2013</v>
      </c>
      <c r="I22" s="36">
        <v>242292.13790100001</v>
      </c>
      <c r="J22" s="46">
        <v>690.39132969330001</v>
      </c>
      <c r="K22" s="18">
        <f t="shared" si="11"/>
        <v>1672763.9125970381</v>
      </c>
      <c r="L22" s="18">
        <f t="shared" si="12"/>
        <v>167276.39125970381</v>
      </c>
      <c r="M22" s="18">
        <f t="shared" si="13"/>
        <v>16727.639125970381</v>
      </c>
    </row>
    <row r="23" spans="1:13">
      <c r="A23" s="45">
        <v>2014</v>
      </c>
      <c r="B23" s="36">
        <v>5316.6479310000004</v>
      </c>
      <c r="C23">
        <f t="shared" si="7"/>
        <v>120.59</v>
      </c>
      <c r="D23" s="35">
        <f t="shared" si="8"/>
        <v>6411.3457399929002</v>
      </c>
      <c r="E23" s="18">
        <f t="shared" si="9"/>
        <v>641.13457399929007</v>
      </c>
      <c r="F23" s="18">
        <f t="shared" si="10"/>
        <v>64.113457399929004</v>
      </c>
      <c r="H23" s="183">
        <v>2014</v>
      </c>
      <c r="I23" s="36">
        <v>248789.06529699999</v>
      </c>
      <c r="J23" s="46">
        <v>595.42454111430004</v>
      </c>
      <c r="K23" s="18">
        <f t="shared" si="11"/>
        <v>1481351.1503872187</v>
      </c>
      <c r="L23" s="18">
        <f t="shared" si="12"/>
        <v>148135.11503872188</v>
      </c>
      <c r="M23" s="18">
        <f t="shared" si="13"/>
        <v>14813.511503872189</v>
      </c>
    </row>
    <row r="24" spans="1:13">
      <c r="A24" s="45">
        <v>2015</v>
      </c>
      <c r="B24" s="36">
        <v>4951.3732669999999</v>
      </c>
      <c r="C24">
        <f t="shared" si="7"/>
        <v>117.14</v>
      </c>
      <c r="D24" s="35">
        <f t="shared" si="8"/>
        <v>5800.0386449637999</v>
      </c>
      <c r="E24" s="18">
        <f t="shared" si="9"/>
        <v>580.00386449638006</v>
      </c>
      <c r="F24" s="18">
        <f t="shared" si="10"/>
        <v>58.000386449638007</v>
      </c>
      <c r="H24" s="183">
        <v>2015</v>
      </c>
      <c r="I24" s="36">
        <v>244597.89944400001</v>
      </c>
      <c r="J24" s="46">
        <v>542.75027261150001</v>
      </c>
      <c r="K24" s="18">
        <f t="shared" si="11"/>
        <v>1327555.7660343125</v>
      </c>
      <c r="L24" s="18">
        <f t="shared" si="12"/>
        <v>132755.57660343125</v>
      </c>
      <c r="M24" s="18">
        <f t="shared" si="13"/>
        <v>13275.557660343125</v>
      </c>
    </row>
    <row r="25" spans="1:13">
      <c r="A25" s="45">
        <v>2016</v>
      </c>
      <c r="B25" s="36">
        <v>4893.1051930000003</v>
      </c>
      <c r="C25">
        <f t="shared" si="7"/>
        <v>118.25</v>
      </c>
      <c r="D25" s="35">
        <f t="shared" si="8"/>
        <v>5786.0968907225006</v>
      </c>
      <c r="E25" s="18">
        <f t="shared" si="9"/>
        <v>578.60968907225003</v>
      </c>
      <c r="F25" s="18">
        <f t="shared" si="10"/>
        <v>57.860968907225008</v>
      </c>
      <c r="H25" s="184">
        <v>2016</v>
      </c>
      <c r="I25" s="47">
        <v>238615.573573</v>
      </c>
      <c r="J25" s="48">
        <v>599.83388264769997</v>
      </c>
      <c r="K25" s="18">
        <f t="shared" si="11"/>
        <v>1431297.0595650049</v>
      </c>
      <c r="L25" s="18">
        <f t="shared" si="12"/>
        <v>143129.70595650049</v>
      </c>
      <c r="M25" s="18">
        <f t="shared" si="13"/>
        <v>14312.970595650049</v>
      </c>
    </row>
    <row r="26" spans="1:13">
      <c r="B26" s="37"/>
      <c r="C26" s="38" t="s">
        <v>90</v>
      </c>
      <c r="D26" s="39">
        <f>AVERAGE(D20:D25)</f>
        <v>6137.2366081380669</v>
      </c>
      <c r="E26" s="39">
        <f>AVERAGE(E20:E25)</f>
        <v>613.72366081380676</v>
      </c>
      <c r="F26" s="39">
        <f>AVERAGE(F20:F25)</f>
        <v>61.372366081380676</v>
      </c>
      <c r="I26" s="37"/>
      <c r="J26" s="38" t="s">
        <v>90</v>
      </c>
      <c r="K26" s="39">
        <f>AVERAGE(K20:K25)</f>
        <v>1530883.6201363988</v>
      </c>
      <c r="L26" s="39">
        <f>AVERAGE(L20:L25)</f>
        <v>153088.36201363988</v>
      </c>
      <c r="M26" s="39">
        <f>AVERAGE(M20:M25)</f>
        <v>15308.836201363987</v>
      </c>
    </row>
    <row r="27" spans="1:13">
      <c r="A27" s="40" t="s">
        <v>47</v>
      </c>
      <c r="B27" s="40"/>
      <c r="C27" s="40"/>
      <c r="D27" s="41">
        <f>D26*1000</f>
        <v>6137236.6081380667</v>
      </c>
      <c r="E27" s="41"/>
      <c r="F27" s="41">
        <f>F26*1000</f>
        <v>61372.366081380678</v>
      </c>
      <c r="H27" s="40" t="s">
        <v>47</v>
      </c>
      <c r="I27" s="40"/>
      <c r="J27" s="40"/>
      <c r="K27" s="41">
        <f>K26*1000</f>
        <v>1530883620.1363988</v>
      </c>
      <c r="L27" s="41"/>
      <c r="M27" s="41">
        <f>M26*1000</f>
        <v>15308836.201363986</v>
      </c>
    </row>
    <row r="28" spans="1:13">
      <c r="A28" s="40" t="s">
        <v>48</v>
      </c>
      <c r="B28" s="40"/>
      <c r="C28" s="40"/>
      <c r="D28" s="41">
        <f>D27+F27</f>
        <v>6198608.974219447</v>
      </c>
      <c r="E28" s="41"/>
      <c r="F28" s="41"/>
      <c r="H28" s="40" t="s">
        <v>51</v>
      </c>
      <c r="I28" s="40"/>
      <c r="J28" s="40"/>
      <c r="K28" s="41">
        <f>K27+M27</f>
        <v>1546192456.3377628</v>
      </c>
      <c r="L28" s="41"/>
      <c r="M28" s="41"/>
    </row>
    <row r="29" spans="1:13">
      <c r="A29" s="40" t="s">
        <v>49</v>
      </c>
      <c r="B29" s="40"/>
      <c r="C29" s="40"/>
      <c r="D29" s="42">
        <f>(D28-D27)</f>
        <v>61372.366081380285</v>
      </c>
      <c r="E29" s="42"/>
      <c r="F29" s="42"/>
      <c r="H29" s="40" t="s">
        <v>52</v>
      </c>
      <c r="I29" s="40"/>
      <c r="J29" s="40"/>
      <c r="K29" s="42">
        <f>(K28-K27)</f>
        <v>15308836.20136404</v>
      </c>
      <c r="L29" s="42"/>
      <c r="M29" s="42"/>
    </row>
    <row r="32" spans="1:13" ht="15.75" thickBot="1"/>
    <row r="33" spans="2:6" ht="15.75" thickBot="1">
      <c r="B33" s="86"/>
      <c r="C33" s="87" t="str">
        <f>B5</f>
        <v>Madagascar</v>
      </c>
      <c r="D33" s="88" t="str">
        <f>I5</f>
        <v>Comoros</v>
      </c>
      <c r="E33" s="88" t="str">
        <f>B18</f>
        <v>Seychelles</v>
      </c>
      <c r="F33" s="88" t="str">
        <f>I18</f>
        <v>Mauritius</v>
      </c>
    </row>
    <row r="34" spans="2:6" ht="15.75" thickBot="1">
      <c r="B34" s="185" t="s">
        <v>93</v>
      </c>
      <c r="C34" s="89">
        <f>D16</f>
        <v>43595049.401809692</v>
      </c>
      <c r="D34" s="89">
        <f>K16</f>
        <v>859168.90146753192</v>
      </c>
      <c r="E34" s="89">
        <f>D29</f>
        <v>61372.366081380285</v>
      </c>
      <c r="F34" s="89">
        <f>K29</f>
        <v>15308836.20136404</v>
      </c>
    </row>
    <row r="35" spans="2:6" ht="15.75" thickBot="1"/>
    <row r="36" spans="2:6" ht="15.75" thickBot="1">
      <c r="B36" s="83"/>
      <c r="C36" s="84" t="s">
        <v>0</v>
      </c>
      <c r="D36" s="85" t="s">
        <v>53</v>
      </c>
      <c r="E36" s="85" t="s">
        <v>2</v>
      </c>
      <c r="F36" s="85" t="s">
        <v>3</v>
      </c>
    </row>
    <row r="37" spans="2:6" ht="15.75" thickBot="1">
      <c r="B37" s="185" t="s">
        <v>93</v>
      </c>
      <c r="C37" s="218">
        <f>C34/1000000</f>
        <v>43.595049401809689</v>
      </c>
      <c r="D37" s="220">
        <f t="shared" ref="D37:F37" si="14">D34/1000000</f>
        <v>0.85916890146753189</v>
      </c>
      <c r="E37" s="220">
        <f t="shared" si="14"/>
        <v>6.1372366081380282E-2</v>
      </c>
      <c r="F37" s="220">
        <f t="shared" si="14"/>
        <v>15.30883620136404</v>
      </c>
    </row>
    <row r="38" spans="2:6" ht="15.75" thickBot="1">
      <c r="B38" s="186" t="s">
        <v>65</v>
      </c>
      <c r="C38" s="219"/>
      <c r="D38" s="221"/>
      <c r="E38" s="221"/>
      <c r="F38" s="221"/>
    </row>
    <row r="61" spans="2:2">
      <c r="B61" s="18"/>
    </row>
  </sheetData>
  <mergeCells count="8">
    <mergeCell ref="B5:D5"/>
    <mergeCell ref="I5:K5"/>
    <mergeCell ref="B18:D18"/>
    <mergeCell ref="I18:K18"/>
    <mergeCell ref="C37:C38"/>
    <mergeCell ref="D37:D38"/>
    <mergeCell ref="E37:E38"/>
    <mergeCell ref="F37:F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AC7E-A416-4D46-971E-91C39D4984C0}">
  <dimension ref="B1:BA50"/>
  <sheetViews>
    <sheetView zoomScaleNormal="100" workbookViewId="0">
      <selection activeCell="I43" sqref="I43"/>
    </sheetView>
  </sheetViews>
  <sheetFormatPr baseColWidth="10" defaultRowHeight="15"/>
  <cols>
    <col min="1" max="1" width="8.85546875" customWidth="1"/>
    <col min="2" max="2" width="39" customWidth="1"/>
    <col min="3" max="3" width="19.140625" customWidth="1"/>
    <col min="4" max="5" width="16.5703125" bestFit="1" customWidth="1"/>
    <col min="6" max="6" width="13.85546875" bestFit="1" customWidth="1"/>
    <col min="7" max="8" width="12.85546875" bestFit="1" customWidth="1"/>
    <col min="9" max="53" width="13.85546875" bestFit="1" customWidth="1"/>
  </cols>
  <sheetData>
    <row r="1" spans="2:53" ht="15.75" thickBot="1"/>
    <row r="2" spans="2:53">
      <c r="C2" s="165" t="s">
        <v>86</v>
      </c>
    </row>
    <row r="3" spans="2:53" ht="15.75" thickBot="1">
      <c r="B3" s="135" t="s">
        <v>70</v>
      </c>
      <c r="C3" s="168">
        <v>0</v>
      </c>
    </row>
    <row r="4" spans="2:53" ht="15.75" thickBot="1"/>
    <row r="5" spans="2:53">
      <c r="B5" s="29" t="s">
        <v>59</v>
      </c>
      <c r="C5" s="92" t="s">
        <v>25</v>
      </c>
      <c r="D5" s="57">
        <v>2021</v>
      </c>
      <c r="E5" s="24">
        <v>2022</v>
      </c>
      <c r="F5" s="24">
        <v>2023</v>
      </c>
      <c r="G5" s="24">
        <v>2024</v>
      </c>
      <c r="H5" s="24">
        <v>2025</v>
      </c>
      <c r="I5" s="24">
        <v>2026</v>
      </c>
      <c r="J5" s="24">
        <v>2027</v>
      </c>
      <c r="K5" s="24">
        <v>2028</v>
      </c>
      <c r="L5" s="24">
        <v>2029</v>
      </c>
      <c r="M5" s="24">
        <v>2030</v>
      </c>
      <c r="N5" s="24">
        <v>2031</v>
      </c>
      <c r="O5" s="24">
        <v>2032</v>
      </c>
      <c r="P5" s="24">
        <v>2033</v>
      </c>
      <c r="Q5" s="24">
        <v>2034</v>
      </c>
      <c r="R5" s="24">
        <v>2035</v>
      </c>
      <c r="S5" s="24">
        <v>2036</v>
      </c>
      <c r="T5" s="24">
        <v>2037</v>
      </c>
      <c r="U5" s="24">
        <v>2038</v>
      </c>
      <c r="V5" s="24">
        <v>2039</v>
      </c>
      <c r="W5" s="24">
        <v>2040</v>
      </c>
      <c r="X5" s="24">
        <v>2041</v>
      </c>
      <c r="Y5" s="24">
        <v>2042</v>
      </c>
      <c r="Z5" s="24">
        <v>2043</v>
      </c>
      <c r="AA5" s="24">
        <v>2044</v>
      </c>
      <c r="AB5" s="24">
        <v>2045</v>
      </c>
      <c r="AC5" s="24">
        <v>2046</v>
      </c>
      <c r="AD5" s="24">
        <v>2047</v>
      </c>
      <c r="AE5" s="24">
        <v>2048</v>
      </c>
      <c r="AF5" s="24">
        <v>2049</v>
      </c>
      <c r="AG5" s="24">
        <v>2050</v>
      </c>
      <c r="AH5" s="24">
        <v>2051</v>
      </c>
      <c r="AI5" s="24">
        <v>2052</v>
      </c>
      <c r="AJ5" s="24">
        <v>2053</v>
      </c>
      <c r="AK5" s="24">
        <v>2054</v>
      </c>
      <c r="AL5" s="24">
        <v>2055</v>
      </c>
      <c r="AM5" s="24">
        <v>2056</v>
      </c>
      <c r="AN5" s="24">
        <v>2057</v>
      </c>
      <c r="AO5" s="24">
        <v>2058</v>
      </c>
      <c r="AP5" s="24">
        <v>2059</v>
      </c>
      <c r="AQ5" s="24">
        <v>2060</v>
      </c>
      <c r="AR5" s="24">
        <v>2061</v>
      </c>
      <c r="AS5" s="24">
        <v>2062</v>
      </c>
      <c r="AT5" s="24">
        <v>2063</v>
      </c>
      <c r="AU5" s="24">
        <v>2064</v>
      </c>
      <c r="AV5" s="24">
        <v>2065</v>
      </c>
      <c r="AW5" s="24">
        <v>2066</v>
      </c>
      <c r="AX5" s="24">
        <v>2067</v>
      </c>
      <c r="AY5" s="24">
        <v>2068</v>
      </c>
      <c r="AZ5" s="24">
        <v>2069</v>
      </c>
      <c r="BA5" s="24">
        <v>2070</v>
      </c>
    </row>
    <row r="6" spans="2:53">
      <c r="B6" s="25" t="s">
        <v>30</v>
      </c>
      <c r="C6" s="93"/>
      <c r="D6" s="58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</row>
    <row r="7" spans="2:53">
      <c r="B7" s="102" t="s">
        <v>31</v>
      </c>
      <c r="C7" s="107">
        <f>'1-ACB'!C7</f>
        <v>22153500</v>
      </c>
      <c r="D7" s="26">
        <f>'1-ACB'!H7</f>
        <v>2577500</v>
      </c>
      <c r="E7" s="26">
        <f>'1-ACB'!I7</f>
        <v>16805500</v>
      </c>
      <c r="F7" s="26">
        <f>'1-ACB'!J7</f>
        <v>2170500</v>
      </c>
      <c r="G7" s="26">
        <f>'1-ACB'!K7</f>
        <v>300000</v>
      </c>
      <c r="H7" s="26">
        <f>'1-ACB'!L7</f>
        <v>300000</v>
      </c>
    </row>
    <row r="8" spans="2:53">
      <c r="B8" s="103" t="s">
        <v>32</v>
      </c>
      <c r="C8" s="107">
        <f>'1-ACB'!C8</f>
        <v>12520000</v>
      </c>
      <c r="D8" s="26">
        <f>'1-ACB'!H8</f>
        <v>2940000</v>
      </c>
      <c r="E8" s="26">
        <f>'1-ACB'!I8</f>
        <v>8615000</v>
      </c>
      <c r="F8" s="26">
        <f>'1-ACB'!J8</f>
        <v>965000</v>
      </c>
      <c r="G8" s="26">
        <f>'1-ACB'!K8</f>
        <v>0</v>
      </c>
      <c r="H8" s="26">
        <f>'1-ACB'!L8</f>
        <v>0</v>
      </c>
    </row>
    <row r="9" spans="2:53">
      <c r="B9" s="103" t="s">
        <v>33</v>
      </c>
      <c r="C9" s="107">
        <f>'1-ACB'!C9</f>
        <v>11636000</v>
      </c>
      <c r="D9" s="26">
        <f>'1-ACB'!H9</f>
        <v>3484000</v>
      </c>
      <c r="E9" s="26">
        <f>'1-ACB'!I9</f>
        <v>4270000</v>
      </c>
      <c r="F9" s="26">
        <f>'1-ACB'!J9</f>
        <v>1736000</v>
      </c>
      <c r="G9" s="26">
        <f>'1-ACB'!K9</f>
        <v>1123000</v>
      </c>
      <c r="H9" s="26">
        <f>'1-ACB'!L9</f>
        <v>1023000</v>
      </c>
    </row>
    <row r="10" spans="2:53">
      <c r="B10" s="103" t="s">
        <v>34</v>
      </c>
      <c r="C10" s="107">
        <f>'1-ACB'!C10</f>
        <v>5837000</v>
      </c>
      <c r="D10" s="26">
        <f>'1-ACB'!H10</f>
        <v>1085000</v>
      </c>
      <c r="E10" s="26">
        <f>'1-ACB'!I10</f>
        <v>1135000</v>
      </c>
      <c r="F10" s="26">
        <f>'1-ACB'!J10</f>
        <v>2213000</v>
      </c>
      <c r="G10" s="26">
        <f>'1-ACB'!K10</f>
        <v>702000</v>
      </c>
      <c r="H10" s="26">
        <f>'1-ACB'!L10</f>
        <v>702000</v>
      </c>
    </row>
    <row r="11" spans="2:53">
      <c r="B11" s="102" t="s">
        <v>35</v>
      </c>
      <c r="C11" s="107">
        <f>'1-ACB'!C11</f>
        <v>7930000</v>
      </c>
      <c r="D11" s="26">
        <f>'1-ACB'!H11</f>
        <v>1690000</v>
      </c>
      <c r="E11" s="26">
        <f>'1-ACB'!I11</f>
        <v>3165000</v>
      </c>
      <c r="F11" s="26">
        <f>'1-ACB'!J11</f>
        <v>1575000</v>
      </c>
      <c r="G11" s="26">
        <f>'1-ACB'!K11</f>
        <v>1200000</v>
      </c>
      <c r="H11" s="26">
        <f>'1-ACB'!L11</f>
        <v>300000</v>
      </c>
    </row>
    <row r="12" spans="2:53">
      <c r="B12" s="103" t="s">
        <v>36</v>
      </c>
      <c r="C12" s="107">
        <f>'1-ACB'!C12</f>
        <v>9990000</v>
      </c>
      <c r="D12" s="26">
        <f>'1-ACB'!H12</f>
        <v>2000000</v>
      </c>
      <c r="E12" s="26">
        <f>'1-ACB'!I12</f>
        <v>3350000</v>
      </c>
      <c r="F12" s="26">
        <f>'1-ACB'!J12</f>
        <v>3380000</v>
      </c>
      <c r="G12" s="26">
        <f>'1-ACB'!K12</f>
        <v>1180000</v>
      </c>
      <c r="H12" s="26">
        <f>'1-ACB'!L12</f>
        <v>80000</v>
      </c>
    </row>
    <row r="13" spans="2:53">
      <c r="B13" s="67" t="s">
        <v>37</v>
      </c>
      <c r="C13" s="95">
        <f>'1-ACB'!C13</f>
        <v>70066500</v>
      </c>
      <c r="D13" s="59">
        <f>'1-ACB'!H13</f>
        <v>13776500</v>
      </c>
      <c r="E13" s="27">
        <f>'1-ACB'!I13</f>
        <v>37340500</v>
      </c>
      <c r="F13" s="27">
        <f>'1-ACB'!J13</f>
        <v>12039500</v>
      </c>
      <c r="G13" s="27">
        <f>'1-ACB'!K13</f>
        <v>4505000</v>
      </c>
      <c r="H13" s="27">
        <f>'1-ACB'!L13</f>
        <v>2405000</v>
      </c>
      <c r="I13" s="27">
        <f>SUM(I7:I12)</f>
        <v>0</v>
      </c>
      <c r="J13" s="27">
        <f t="shared" ref="J13:BA13" si="0">SUM(J7:J12)</f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27">
        <f t="shared" si="0"/>
        <v>0</v>
      </c>
      <c r="S13" s="27">
        <f t="shared" si="0"/>
        <v>0</v>
      </c>
      <c r="T13" s="27">
        <f t="shared" si="0"/>
        <v>0</v>
      </c>
      <c r="U13" s="27">
        <f t="shared" si="0"/>
        <v>0</v>
      </c>
      <c r="V13" s="27">
        <f t="shared" si="0"/>
        <v>0</v>
      </c>
      <c r="W13" s="27">
        <f t="shared" si="0"/>
        <v>0</v>
      </c>
      <c r="X13" s="27">
        <f t="shared" si="0"/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0</v>
      </c>
      <c r="AC13" s="27">
        <f t="shared" si="0"/>
        <v>0</v>
      </c>
      <c r="AD13" s="27">
        <f t="shared" si="0"/>
        <v>0</v>
      </c>
      <c r="AE13" s="27">
        <f t="shared" si="0"/>
        <v>0</v>
      </c>
      <c r="AF13" s="27">
        <f t="shared" si="0"/>
        <v>0</v>
      </c>
      <c r="AG13" s="27">
        <f t="shared" si="0"/>
        <v>0</v>
      </c>
      <c r="AH13" s="27">
        <f t="shared" si="0"/>
        <v>0</v>
      </c>
      <c r="AI13" s="27">
        <f t="shared" si="0"/>
        <v>0</v>
      </c>
      <c r="AJ13" s="27">
        <f t="shared" si="0"/>
        <v>0</v>
      </c>
      <c r="AK13" s="27">
        <f t="shared" si="0"/>
        <v>0</v>
      </c>
      <c r="AL13" s="27">
        <f t="shared" si="0"/>
        <v>0</v>
      </c>
      <c r="AM13" s="27">
        <f t="shared" si="0"/>
        <v>0</v>
      </c>
      <c r="AN13" s="27">
        <f t="shared" si="0"/>
        <v>0</v>
      </c>
      <c r="AO13" s="27">
        <f t="shared" si="0"/>
        <v>0</v>
      </c>
      <c r="AP13" s="27">
        <f t="shared" si="0"/>
        <v>0</v>
      </c>
      <c r="AQ13" s="27">
        <f t="shared" si="0"/>
        <v>0</v>
      </c>
      <c r="AR13" s="27">
        <f t="shared" si="0"/>
        <v>0</v>
      </c>
      <c r="AS13" s="27">
        <f t="shared" si="0"/>
        <v>0</v>
      </c>
      <c r="AT13" s="27">
        <f t="shared" si="0"/>
        <v>0</v>
      </c>
      <c r="AU13" s="27">
        <f t="shared" si="0"/>
        <v>0</v>
      </c>
      <c r="AV13" s="27">
        <f t="shared" si="0"/>
        <v>0</v>
      </c>
      <c r="AW13" s="27">
        <f t="shared" si="0"/>
        <v>0</v>
      </c>
      <c r="AX13" s="27">
        <f t="shared" si="0"/>
        <v>0</v>
      </c>
      <c r="AY13" s="27">
        <f t="shared" si="0"/>
        <v>0</v>
      </c>
      <c r="AZ13" s="27">
        <f t="shared" si="0"/>
        <v>0</v>
      </c>
      <c r="BA13" s="27">
        <f t="shared" si="0"/>
        <v>0</v>
      </c>
    </row>
    <row r="14" spans="2:53">
      <c r="B14" s="68"/>
      <c r="C14" s="104"/>
      <c r="D14" s="28"/>
      <c r="E14" s="28"/>
      <c r="F14" s="28"/>
      <c r="G14" s="28"/>
      <c r="H14" s="28"/>
    </row>
    <row r="15" spans="2:53">
      <c r="B15" s="10" t="s">
        <v>38</v>
      </c>
      <c r="C15" s="105"/>
      <c r="D15" s="100"/>
      <c r="E15" s="101"/>
      <c r="F15" s="101"/>
      <c r="G15" s="101"/>
      <c r="H15" s="101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</row>
    <row r="16" spans="2:53">
      <c r="B16" s="102" t="s">
        <v>39</v>
      </c>
      <c r="C16" s="107">
        <f>'1-ACB'!C16</f>
        <v>7994000</v>
      </c>
      <c r="D16" s="26">
        <f>'1-ACB'!H16</f>
        <v>0</v>
      </c>
      <c r="E16" s="91">
        <f>'1-ACB'!I16</f>
        <v>470000</v>
      </c>
      <c r="F16" s="26">
        <f>'1-ACB'!J16</f>
        <v>2334000</v>
      </c>
      <c r="G16" s="26">
        <f>'1-ACB'!K16</f>
        <v>2581000</v>
      </c>
      <c r="H16" s="26">
        <f>'1-ACB'!L16</f>
        <v>2609000</v>
      </c>
      <c r="I16" s="26">
        <f>H16</f>
        <v>2609000</v>
      </c>
      <c r="J16" s="26">
        <f>I16</f>
        <v>2609000</v>
      </c>
      <c r="K16" s="26">
        <f t="shared" ref="K16:BA16" si="1">J16</f>
        <v>2609000</v>
      </c>
      <c r="L16" s="26">
        <f t="shared" si="1"/>
        <v>2609000</v>
      </c>
      <c r="M16" s="26">
        <f t="shared" si="1"/>
        <v>2609000</v>
      </c>
      <c r="N16" s="26">
        <f t="shared" si="1"/>
        <v>2609000</v>
      </c>
      <c r="O16" s="26">
        <f t="shared" si="1"/>
        <v>2609000</v>
      </c>
      <c r="P16" s="26">
        <f t="shared" si="1"/>
        <v>2609000</v>
      </c>
      <c r="Q16" s="26">
        <f t="shared" si="1"/>
        <v>2609000</v>
      </c>
      <c r="R16" s="26">
        <f t="shared" si="1"/>
        <v>2609000</v>
      </c>
      <c r="S16" s="26">
        <f t="shared" si="1"/>
        <v>2609000</v>
      </c>
      <c r="T16" s="26">
        <f t="shared" si="1"/>
        <v>2609000</v>
      </c>
      <c r="U16" s="26">
        <f t="shared" si="1"/>
        <v>2609000</v>
      </c>
      <c r="V16" s="26">
        <f t="shared" si="1"/>
        <v>2609000</v>
      </c>
      <c r="W16" s="26">
        <f t="shared" si="1"/>
        <v>2609000</v>
      </c>
      <c r="X16" s="26">
        <f t="shared" si="1"/>
        <v>2609000</v>
      </c>
      <c r="Y16" s="26">
        <f t="shared" si="1"/>
        <v>2609000</v>
      </c>
      <c r="Z16" s="26">
        <f t="shared" si="1"/>
        <v>2609000</v>
      </c>
      <c r="AA16" s="26">
        <f t="shared" si="1"/>
        <v>2609000</v>
      </c>
      <c r="AB16" s="26">
        <f t="shared" si="1"/>
        <v>2609000</v>
      </c>
      <c r="AC16" s="26">
        <f t="shared" si="1"/>
        <v>2609000</v>
      </c>
      <c r="AD16" s="26">
        <f t="shared" si="1"/>
        <v>2609000</v>
      </c>
      <c r="AE16" s="26">
        <f t="shared" si="1"/>
        <v>2609000</v>
      </c>
      <c r="AF16" s="26">
        <f t="shared" si="1"/>
        <v>2609000</v>
      </c>
      <c r="AG16" s="26">
        <f t="shared" si="1"/>
        <v>2609000</v>
      </c>
      <c r="AH16" s="26">
        <f t="shared" si="1"/>
        <v>2609000</v>
      </c>
      <c r="AI16" s="26">
        <f t="shared" si="1"/>
        <v>2609000</v>
      </c>
      <c r="AJ16" s="26">
        <f t="shared" si="1"/>
        <v>2609000</v>
      </c>
      <c r="AK16" s="26">
        <f t="shared" si="1"/>
        <v>2609000</v>
      </c>
      <c r="AL16" s="26">
        <f t="shared" si="1"/>
        <v>2609000</v>
      </c>
      <c r="AM16" s="26">
        <f t="shared" si="1"/>
        <v>2609000</v>
      </c>
      <c r="AN16" s="26">
        <f t="shared" si="1"/>
        <v>2609000</v>
      </c>
      <c r="AO16" s="26">
        <f t="shared" si="1"/>
        <v>2609000</v>
      </c>
      <c r="AP16" s="26">
        <f t="shared" si="1"/>
        <v>2609000</v>
      </c>
      <c r="AQ16" s="26">
        <f t="shared" si="1"/>
        <v>2609000</v>
      </c>
      <c r="AR16" s="26">
        <f t="shared" si="1"/>
        <v>2609000</v>
      </c>
      <c r="AS16" s="26">
        <f t="shared" si="1"/>
        <v>2609000</v>
      </c>
      <c r="AT16" s="26">
        <f t="shared" si="1"/>
        <v>2609000</v>
      </c>
      <c r="AU16" s="26">
        <f t="shared" si="1"/>
        <v>2609000</v>
      </c>
      <c r="AV16" s="26">
        <f t="shared" si="1"/>
        <v>2609000</v>
      </c>
      <c r="AW16" s="26">
        <f t="shared" si="1"/>
        <v>2609000</v>
      </c>
      <c r="AX16" s="26">
        <f t="shared" si="1"/>
        <v>2609000</v>
      </c>
      <c r="AY16" s="26">
        <f t="shared" si="1"/>
        <v>2609000</v>
      </c>
      <c r="AZ16" s="26">
        <f t="shared" si="1"/>
        <v>2609000</v>
      </c>
      <c r="BA16" s="26">
        <f t="shared" si="1"/>
        <v>2609000</v>
      </c>
    </row>
    <row r="17" spans="2:53">
      <c r="B17" s="102"/>
      <c r="C17" s="107"/>
      <c r="D17" s="26"/>
      <c r="E17" s="26"/>
      <c r="F17" s="26"/>
      <c r="G17" s="26"/>
      <c r="H17" s="26"/>
      <c r="I17" s="26"/>
    </row>
    <row r="18" spans="2:53">
      <c r="B18" s="56" t="s">
        <v>37</v>
      </c>
      <c r="C18" s="95">
        <f>'1-ACB'!C18</f>
        <v>7994000</v>
      </c>
      <c r="D18" s="59">
        <f>'1-ACB'!H18</f>
        <v>0</v>
      </c>
      <c r="E18" s="27">
        <f>'1-ACB'!I18</f>
        <v>470000</v>
      </c>
      <c r="F18" s="27">
        <f>'1-ACB'!J18</f>
        <v>2334000</v>
      </c>
      <c r="G18" s="27">
        <f>'1-ACB'!K18</f>
        <v>2581000</v>
      </c>
      <c r="H18" s="27">
        <f>'1-ACB'!L18</f>
        <v>2609000</v>
      </c>
      <c r="I18" s="27">
        <f>SUM(I16:I17)</f>
        <v>2609000</v>
      </c>
      <c r="J18" s="27">
        <f t="shared" ref="J18:BA18" si="2">SUM(J16:J17)</f>
        <v>2609000</v>
      </c>
      <c r="K18" s="27">
        <f t="shared" si="2"/>
        <v>2609000</v>
      </c>
      <c r="L18" s="27">
        <f t="shared" si="2"/>
        <v>2609000</v>
      </c>
      <c r="M18" s="27">
        <f t="shared" si="2"/>
        <v>2609000</v>
      </c>
      <c r="N18" s="27">
        <f t="shared" si="2"/>
        <v>2609000</v>
      </c>
      <c r="O18" s="27">
        <f t="shared" si="2"/>
        <v>2609000</v>
      </c>
      <c r="P18" s="27">
        <f t="shared" si="2"/>
        <v>2609000</v>
      </c>
      <c r="Q18" s="27">
        <f t="shared" si="2"/>
        <v>2609000</v>
      </c>
      <c r="R18" s="27">
        <f t="shared" si="2"/>
        <v>2609000</v>
      </c>
      <c r="S18" s="27">
        <f t="shared" si="2"/>
        <v>2609000</v>
      </c>
      <c r="T18" s="27">
        <f t="shared" si="2"/>
        <v>2609000</v>
      </c>
      <c r="U18" s="27">
        <f t="shared" si="2"/>
        <v>2609000</v>
      </c>
      <c r="V18" s="27">
        <f t="shared" si="2"/>
        <v>2609000</v>
      </c>
      <c r="W18" s="27">
        <f t="shared" si="2"/>
        <v>2609000</v>
      </c>
      <c r="X18" s="27">
        <f t="shared" si="2"/>
        <v>2609000</v>
      </c>
      <c r="Y18" s="27">
        <f t="shared" si="2"/>
        <v>2609000</v>
      </c>
      <c r="Z18" s="27">
        <f t="shared" si="2"/>
        <v>2609000</v>
      </c>
      <c r="AA18" s="27">
        <f t="shared" si="2"/>
        <v>2609000</v>
      </c>
      <c r="AB18" s="27">
        <f t="shared" si="2"/>
        <v>2609000</v>
      </c>
      <c r="AC18" s="27">
        <f t="shared" si="2"/>
        <v>2609000</v>
      </c>
      <c r="AD18" s="27">
        <f t="shared" si="2"/>
        <v>2609000</v>
      </c>
      <c r="AE18" s="27">
        <f t="shared" si="2"/>
        <v>2609000</v>
      </c>
      <c r="AF18" s="27">
        <f t="shared" si="2"/>
        <v>2609000</v>
      </c>
      <c r="AG18" s="27">
        <f t="shared" si="2"/>
        <v>2609000</v>
      </c>
      <c r="AH18" s="27">
        <f t="shared" si="2"/>
        <v>2609000</v>
      </c>
      <c r="AI18" s="27">
        <f t="shared" si="2"/>
        <v>2609000</v>
      </c>
      <c r="AJ18" s="27">
        <f t="shared" si="2"/>
        <v>2609000</v>
      </c>
      <c r="AK18" s="27">
        <f t="shared" si="2"/>
        <v>2609000</v>
      </c>
      <c r="AL18" s="27">
        <f t="shared" si="2"/>
        <v>2609000</v>
      </c>
      <c r="AM18" s="27">
        <f t="shared" si="2"/>
        <v>2609000</v>
      </c>
      <c r="AN18" s="27">
        <f t="shared" si="2"/>
        <v>2609000</v>
      </c>
      <c r="AO18" s="27">
        <f t="shared" si="2"/>
        <v>2609000</v>
      </c>
      <c r="AP18" s="27">
        <f t="shared" si="2"/>
        <v>2609000</v>
      </c>
      <c r="AQ18" s="27">
        <f t="shared" si="2"/>
        <v>2609000</v>
      </c>
      <c r="AR18" s="27">
        <f t="shared" si="2"/>
        <v>2609000</v>
      </c>
      <c r="AS18" s="27">
        <f t="shared" si="2"/>
        <v>2609000</v>
      </c>
      <c r="AT18" s="27">
        <f t="shared" si="2"/>
        <v>2609000</v>
      </c>
      <c r="AU18" s="27">
        <f t="shared" si="2"/>
        <v>2609000</v>
      </c>
      <c r="AV18" s="27">
        <f t="shared" si="2"/>
        <v>2609000</v>
      </c>
      <c r="AW18" s="27">
        <f t="shared" si="2"/>
        <v>2609000</v>
      </c>
      <c r="AX18" s="27">
        <f t="shared" si="2"/>
        <v>2609000</v>
      </c>
      <c r="AY18" s="27">
        <f t="shared" si="2"/>
        <v>2609000</v>
      </c>
      <c r="AZ18" s="27">
        <f t="shared" si="2"/>
        <v>2609000</v>
      </c>
      <c r="BA18" s="27">
        <f t="shared" si="2"/>
        <v>2609000</v>
      </c>
    </row>
    <row r="19" spans="2:53">
      <c r="B19" s="68"/>
      <c r="C19" s="104"/>
      <c r="D19" s="28"/>
      <c r="E19" s="28"/>
      <c r="F19" s="28"/>
      <c r="G19" s="28"/>
      <c r="H19" s="28"/>
    </row>
    <row r="20" spans="2:53" s="54" customFormat="1">
      <c r="B20" s="25" t="s">
        <v>57</v>
      </c>
      <c r="C20" s="106">
        <f>'1-ACB'!C20</f>
        <v>78060500</v>
      </c>
      <c r="D20" s="53">
        <f>'1-ACB'!H20</f>
        <v>13776500</v>
      </c>
      <c r="E20" s="53">
        <f>'1-ACB'!I20</f>
        <v>37810500</v>
      </c>
      <c r="F20" s="53">
        <f>'1-ACB'!J20</f>
        <v>14373500</v>
      </c>
      <c r="G20" s="53">
        <f>'1-ACB'!K20</f>
        <v>7086000</v>
      </c>
      <c r="H20" s="53">
        <f>'1-ACB'!L20</f>
        <v>5014000</v>
      </c>
      <c r="I20" s="53">
        <f t="shared" ref="I20:BA20" si="3">I18+I13</f>
        <v>2609000</v>
      </c>
      <c r="J20" s="53">
        <f t="shared" si="3"/>
        <v>2609000</v>
      </c>
      <c r="K20" s="53">
        <f t="shared" si="3"/>
        <v>2609000</v>
      </c>
      <c r="L20" s="53">
        <f t="shared" si="3"/>
        <v>2609000</v>
      </c>
      <c r="M20" s="53">
        <f t="shared" si="3"/>
        <v>2609000</v>
      </c>
      <c r="N20" s="53">
        <f t="shared" si="3"/>
        <v>2609000</v>
      </c>
      <c r="O20" s="53">
        <f t="shared" si="3"/>
        <v>2609000</v>
      </c>
      <c r="P20" s="53">
        <f t="shared" si="3"/>
        <v>2609000</v>
      </c>
      <c r="Q20" s="53">
        <f t="shared" si="3"/>
        <v>2609000</v>
      </c>
      <c r="R20" s="53">
        <f t="shared" si="3"/>
        <v>2609000</v>
      </c>
      <c r="S20" s="53">
        <f t="shared" si="3"/>
        <v>2609000</v>
      </c>
      <c r="T20" s="53">
        <f t="shared" si="3"/>
        <v>2609000</v>
      </c>
      <c r="U20" s="53">
        <f t="shared" si="3"/>
        <v>2609000</v>
      </c>
      <c r="V20" s="53">
        <f t="shared" si="3"/>
        <v>2609000</v>
      </c>
      <c r="W20" s="53">
        <f t="shared" si="3"/>
        <v>2609000</v>
      </c>
      <c r="X20" s="53">
        <f t="shared" si="3"/>
        <v>2609000</v>
      </c>
      <c r="Y20" s="53">
        <f t="shared" si="3"/>
        <v>2609000</v>
      </c>
      <c r="Z20" s="53">
        <f t="shared" si="3"/>
        <v>2609000</v>
      </c>
      <c r="AA20" s="53">
        <f t="shared" si="3"/>
        <v>2609000</v>
      </c>
      <c r="AB20" s="53">
        <f t="shared" si="3"/>
        <v>2609000</v>
      </c>
      <c r="AC20" s="53">
        <f t="shared" si="3"/>
        <v>2609000</v>
      </c>
      <c r="AD20" s="53">
        <f t="shared" si="3"/>
        <v>2609000</v>
      </c>
      <c r="AE20" s="53">
        <f t="shared" si="3"/>
        <v>2609000</v>
      </c>
      <c r="AF20" s="53">
        <f t="shared" si="3"/>
        <v>2609000</v>
      </c>
      <c r="AG20" s="53">
        <f t="shared" si="3"/>
        <v>2609000</v>
      </c>
      <c r="AH20" s="53">
        <f t="shared" si="3"/>
        <v>2609000</v>
      </c>
      <c r="AI20" s="53">
        <f t="shared" si="3"/>
        <v>2609000</v>
      </c>
      <c r="AJ20" s="53">
        <f t="shared" si="3"/>
        <v>2609000</v>
      </c>
      <c r="AK20" s="53">
        <f t="shared" si="3"/>
        <v>2609000</v>
      </c>
      <c r="AL20" s="53">
        <f t="shared" si="3"/>
        <v>2609000</v>
      </c>
      <c r="AM20" s="53">
        <f t="shared" si="3"/>
        <v>2609000</v>
      </c>
      <c r="AN20" s="53">
        <f t="shared" si="3"/>
        <v>2609000</v>
      </c>
      <c r="AO20" s="53">
        <f t="shared" si="3"/>
        <v>2609000</v>
      </c>
      <c r="AP20" s="53">
        <f t="shared" si="3"/>
        <v>2609000</v>
      </c>
      <c r="AQ20" s="53">
        <f t="shared" si="3"/>
        <v>2609000</v>
      </c>
      <c r="AR20" s="53">
        <f t="shared" si="3"/>
        <v>2609000</v>
      </c>
      <c r="AS20" s="53">
        <f t="shared" si="3"/>
        <v>2609000</v>
      </c>
      <c r="AT20" s="53">
        <f t="shared" si="3"/>
        <v>2609000</v>
      </c>
      <c r="AU20" s="53">
        <f t="shared" si="3"/>
        <v>2609000</v>
      </c>
      <c r="AV20" s="53">
        <f t="shared" si="3"/>
        <v>2609000</v>
      </c>
      <c r="AW20" s="53">
        <f t="shared" si="3"/>
        <v>2609000</v>
      </c>
      <c r="AX20" s="53">
        <f t="shared" si="3"/>
        <v>2609000</v>
      </c>
      <c r="AY20" s="53">
        <f t="shared" si="3"/>
        <v>2609000</v>
      </c>
      <c r="AZ20" s="53">
        <f t="shared" si="3"/>
        <v>2609000</v>
      </c>
      <c r="BA20" s="53">
        <f t="shared" si="3"/>
        <v>2609000</v>
      </c>
    </row>
    <row r="21" spans="2:53">
      <c r="B21" s="169" t="s">
        <v>64</v>
      </c>
      <c r="C21" s="170">
        <f>NPV(4%,-1,H20:BA20)</f>
        <v>54615923.212941565</v>
      </c>
    </row>
    <row r="22" spans="2:53">
      <c r="C22" s="111"/>
    </row>
    <row r="23" spans="2:53">
      <c r="C23" s="111"/>
    </row>
    <row r="24" spans="2:53">
      <c r="B24" s="29" t="s">
        <v>60</v>
      </c>
      <c r="C24" s="112" t="str">
        <f t="shared" ref="C24:AH24" si="4">C5</f>
        <v>TOTAL</v>
      </c>
      <c r="D24" s="57">
        <f t="shared" si="4"/>
        <v>2021</v>
      </c>
      <c r="E24" s="24">
        <f t="shared" si="4"/>
        <v>2022</v>
      </c>
      <c r="F24" s="24">
        <f t="shared" si="4"/>
        <v>2023</v>
      </c>
      <c r="G24" s="24">
        <f t="shared" si="4"/>
        <v>2024</v>
      </c>
      <c r="H24" s="24">
        <f t="shared" si="4"/>
        <v>2025</v>
      </c>
      <c r="I24" s="24">
        <f t="shared" si="4"/>
        <v>2026</v>
      </c>
      <c r="J24" s="24">
        <f t="shared" si="4"/>
        <v>2027</v>
      </c>
      <c r="K24" s="24">
        <f t="shared" si="4"/>
        <v>2028</v>
      </c>
      <c r="L24" s="24">
        <f t="shared" si="4"/>
        <v>2029</v>
      </c>
      <c r="M24" s="24">
        <f t="shared" si="4"/>
        <v>2030</v>
      </c>
      <c r="N24" s="24">
        <f t="shared" si="4"/>
        <v>2031</v>
      </c>
      <c r="O24" s="24">
        <f t="shared" si="4"/>
        <v>2032</v>
      </c>
      <c r="P24" s="24">
        <f t="shared" si="4"/>
        <v>2033</v>
      </c>
      <c r="Q24" s="24">
        <f t="shared" si="4"/>
        <v>2034</v>
      </c>
      <c r="R24" s="24">
        <f t="shared" si="4"/>
        <v>2035</v>
      </c>
      <c r="S24" s="24">
        <f t="shared" si="4"/>
        <v>2036</v>
      </c>
      <c r="T24" s="24">
        <f t="shared" si="4"/>
        <v>2037</v>
      </c>
      <c r="U24" s="24">
        <f t="shared" si="4"/>
        <v>2038</v>
      </c>
      <c r="V24" s="24">
        <f t="shared" si="4"/>
        <v>2039</v>
      </c>
      <c r="W24" s="24">
        <f t="shared" si="4"/>
        <v>2040</v>
      </c>
      <c r="X24" s="24">
        <f t="shared" si="4"/>
        <v>2041</v>
      </c>
      <c r="Y24" s="24">
        <f t="shared" si="4"/>
        <v>2042</v>
      </c>
      <c r="Z24" s="24">
        <f t="shared" si="4"/>
        <v>2043</v>
      </c>
      <c r="AA24" s="24">
        <f t="shared" si="4"/>
        <v>2044</v>
      </c>
      <c r="AB24" s="24">
        <f t="shared" si="4"/>
        <v>2045</v>
      </c>
      <c r="AC24" s="24">
        <f t="shared" si="4"/>
        <v>2046</v>
      </c>
      <c r="AD24" s="24">
        <f t="shared" si="4"/>
        <v>2047</v>
      </c>
      <c r="AE24" s="24">
        <f t="shared" si="4"/>
        <v>2048</v>
      </c>
      <c r="AF24" s="24">
        <f t="shared" si="4"/>
        <v>2049</v>
      </c>
      <c r="AG24" s="24">
        <f t="shared" si="4"/>
        <v>2050</v>
      </c>
      <c r="AH24" s="24">
        <f t="shared" si="4"/>
        <v>2051</v>
      </c>
      <c r="AI24" s="24">
        <f t="shared" ref="AI24:BA24" si="5">AI5</f>
        <v>2052</v>
      </c>
      <c r="AJ24" s="24">
        <f t="shared" si="5"/>
        <v>2053</v>
      </c>
      <c r="AK24" s="24">
        <f t="shared" si="5"/>
        <v>2054</v>
      </c>
      <c r="AL24" s="24">
        <f t="shared" si="5"/>
        <v>2055</v>
      </c>
      <c r="AM24" s="24">
        <f t="shared" si="5"/>
        <v>2056</v>
      </c>
      <c r="AN24" s="24">
        <f t="shared" si="5"/>
        <v>2057</v>
      </c>
      <c r="AO24" s="24">
        <f t="shared" si="5"/>
        <v>2058</v>
      </c>
      <c r="AP24" s="24">
        <f t="shared" si="5"/>
        <v>2059</v>
      </c>
      <c r="AQ24" s="24">
        <f t="shared" si="5"/>
        <v>2060</v>
      </c>
      <c r="AR24" s="24">
        <f t="shared" si="5"/>
        <v>2061</v>
      </c>
      <c r="AS24" s="24">
        <f t="shared" si="5"/>
        <v>2062</v>
      </c>
      <c r="AT24" s="24">
        <f t="shared" si="5"/>
        <v>2063</v>
      </c>
      <c r="AU24" s="24">
        <f t="shared" si="5"/>
        <v>2064</v>
      </c>
      <c r="AV24" s="24">
        <f t="shared" si="5"/>
        <v>2065</v>
      </c>
      <c r="AW24" s="24">
        <f t="shared" si="5"/>
        <v>2066</v>
      </c>
      <c r="AX24" s="24">
        <f t="shared" si="5"/>
        <v>2067</v>
      </c>
      <c r="AY24" s="24">
        <f t="shared" si="5"/>
        <v>2068</v>
      </c>
      <c r="AZ24" s="24">
        <f t="shared" si="5"/>
        <v>2069</v>
      </c>
      <c r="BA24" s="24">
        <f t="shared" si="5"/>
        <v>2070</v>
      </c>
    </row>
    <row r="25" spans="2:53">
      <c r="B25" s="23" t="s">
        <v>55</v>
      </c>
      <c r="C25" s="113"/>
      <c r="D25" s="109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2:53">
      <c r="B26" s="49" t="s">
        <v>9</v>
      </c>
      <c r="C26" s="111"/>
      <c r="I26" s="46">
        <f>'1-ACB'!M24*(1+$C$3)</f>
        <v>7343195.8540000003</v>
      </c>
      <c r="J26" s="46">
        <f>'1-ACB'!N24*(1+$C$3)</f>
        <v>7343195.8540000003</v>
      </c>
      <c r="K26" s="46">
        <f>'1-ACB'!O24*(1+$C$3)</f>
        <v>7343195.8540000003</v>
      </c>
      <c r="L26" s="46">
        <f>'1-ACB'!P24*(1+$C$3)</f>
        <v>7343195.8540000003</v>
      </c>
      <c r="M26" s="46">
        <f>'1-ACB'!Q24*(1+$C$3)</f>
        <v>7343195.8540000003</v>
      </c>
      <c r="N26" s="46">
        <f>'1-ACB'!R24*(1+$C$3)</f>
        <v>7343195.8540000003</v>
      </c>
      <c r="O26" s="46">
        <f>'1-ACB'!S24*(1+$C$3)</f>
        <v>7343195.8540000003</v>
      </c>
      <c r="P26" s="46">
        <f>'1-ACB'!T24*(1+$C$3)</f>
        <v>7343195.8540000003</v>
      </c>
      <c r="Q26" s="46">
        <f>'1-ACB'!U24*(1+$C$3)</f>
        <v>7343195.8540000003</v>
      </c>
      <c r="R26" s="46">
        <f>'1-ACB'!V24*(1+$C$3)</f>
        <v>7343195.8540000003</v>
      </c>
      <c r="S26" s="46">
        <f>'1-ACB'!W24*(1+$C$3)</f>
        <v>7343195.8540000003</v>
      </c>
      <c r="T26" s="46">
        <f>'1-ACB'!X24*(1+$C$3)</f>
        <v>7343195.8540000003</v>
      </c>
      <c r="U26" s="46">
        <f>'1-ACB'!Y24*(1+$C$3)</f>
        <v>7343195.8540000003</v>
      </c>
      <c r="V26" s="46">
        <f>'1-ACB'!Z24*(1+$C$3)</f>
        <v>7343195.8540000003</v>
      </c>
      <c r="W26" s="46">
        <f>'1-ACB'!AA24*(1+$C$3)</f>
        <v>7343195.8540000003</v>
      </c>
      <c r="X26" s="46">
        <f>'1-ACB'!AB24*(1+$C$3)</f>
        <v>7343195.8540000003</v>
      </c>
      <c r="Y26" s="46">
        <f>'1-ACB'!AC24*(1+$C$3)</f>
        <v>7343195.8540000003</v>
      </c>
      <c r="Z26" s="46">
        <f>'1-ACB'!AD24*(1+$C$3)</f>
        <v>7343195.8540000003</v>
      </c>
      <c r="AA26" s="46">
        <f>'1-ACB'!AE24*(1+$C$3)</f>
        <v>7343195.8540000003</v>
      </c>
      <c r="AB26" s="46">
        <f>'1-ACB'!AF24*(1+$C$3)</f>
        <v>7343195.8540000003</v>
      </c>
      <c r="AC26" s="46">
        <f>'1-ACB'!AG24*(1+$C$3)</f>
        <v>7343195.8540000003</v>
      </c>
      <c r="AD26" s="46">
        <f>'1-ACB'!AH24*(1+$C$3)</f>
        <v>7343195.8540000003</v>
      </c>
      <c r="AE26" s="46">
        <f>'1-ACB'!AI24*(1+$C$3)</f>
        <v>7343195.8540000003</v>
      </c>
      <c r="AF26" s="46">
        <f>'1-ACB'!AJ24*(1+$C$3)</f>
        <v>7343195.8540000003</v>
      </c>
      <c r="AG26" s="46">
        <f>'1-ACB'!AK24*(1+$C$3)</f>
        <v>7343195.8540000003</v>
      </c>
      <c r="AH26" s="46">
        <f>'1-ACB'!AL24*(1+$C$3)</f>
        <v>7343195.8540000003</v>
      </c>
      <c r="AI26" s="46">
        <f>'1-ACB'!AM24*(1+$C$3)</f>
        <v>7343195.8540000003</v>
      </c>
      <c r="AJ26" s="46">
        <f>'1-ACB'!AN24*(1+$C$3)</f>
        <v>7343195.8540000003</v>
      </c>
      <c r="AK26" s="46">
        <f>'1-ACB'!AO24*(1+$C$3)</f>
        <v>7343195.8540000003</v>
      </c>
      <c r="AL26" s="46">
        <f>'1-ACB'!AP24*(1+$C$3)</f>
        <v>7343195.8540000003</v>
      </c>
      <c r="AM26" s="46">
        <f>'1-ACB'!AQ24*(1+$C$3)</f>
        <v>7343195.8540000003</v>
      </c>
      <c r="AN26" s="46">
        <f>'1-ACB'!AR24*(1+$C$3)</f>
        <v>7343195.8540000003</v>
      </c>
      <c r="AO26" s="46">
        <f>'1-ACB'!AS24*(1+$C$3)</f>
        <v>7343195.8540000003</v>
      </c>
      <c r="AP26" s="46">
        <f>'1-ACB'!AT24*(1+$C$3)</f>
        <v>7343195.8540000003</v>
      </c>
      <c r="AQ26" s="46">
        <f>'1-ACB'!AU24*(1+$C$3)</f>
        <v>7343195.8540000003</v>
      </c>
      <c r="AR26" s="46">
        <f>'1-ACB'!AV24*(1+$C$3)</f>
        <v>7343195.8540000003</v>
      </c>
      <c r="AS26" s="46">
        <f>'1-ACB'!AW24*(1+$C$3)</f>
        <v>7343195.8540000003</v>
      </c>
      <c r="AT26" s="46">
        <f>'1-ACB'!AX24*(1+$C$3)</f>
        <v>7343195.8540000003</v>
      </c>
      <c r="AU26" s="46">
        <f>'1-ACB'!AY24*(1+$C$3)</f>
        <v>7343195.8540000003</v>
      </c>
      <c r="AV26" s="46">
        <f>'1-ACB'!AZ24*(1+$C$3)</f>
        <v>7343195.8540000003</v>
      </c>
      <c r="AW26" s="46">
        <f>'1-ACB'!BA24*(1+$C$3)</f>
        <v>7343195.8540000003</v>
      </c>
      <c r="AX26" s="46">
        <f>'1-ACB'!BB24*(1+$C$3)</f>
        <v>7343195.8540000003</v>
      </c>
      <c r="AY26" s="46">
        <f>'1-ACB'!BC24*(1+$C$3)</f>
        <v>7343195.8540000003</v>
      </c>
      <c r="AZ26" s="46">
        <f>'1-ACB'!BD24*(1+$C$3)</f>
        <v>7343195.8540000003</v>
      </c>
      <c r="BA26" s="46">
        <f>'1-ACB'!BE24*(1+$C$3)</f>
        <v>7343195.8540000003</v>
      </c>
    </row>
    <row r="27" spans="2:53">
      <c r="B27" s="49" t="s">
        <v>53</v>
      </c>
      <c r="C27" s="111"/>
      <c r="I27" s="46">
        <f>'1-ACB'!M25*(1+$C$3)</f>
        <v>326930.89300000004</v>
      </c>
      <c r="J27" s="46">
        <f>'1-ACB'!N25*(1+$C$3)</f>
        <v>326930.89300000004</v>
      </c>
      <c r="K27" s="46">
        <f>'1-ACB'!O25*(1+$C$3)</f>
        <v>326930.89300000004</v>
      </c>
      <c r="L27" s="46">
        <f>'1-ACB'!P25*(1+$C$3)</f>
        <v>326930.89300000004</v>
      </c>
      <c r="M27" s="46">
        <f>'1-ACB'!Q25*(1+$C$3)</f>
        <v>326930.89300000004</v>
      </c>
      <c r="N27" s="46">
        <f>'1-ACB'!R25*(1+$C$3)</f>
        <v>326930.89300000004</v>
      </c>
      <c r="O27" s="46">
        <f>'1-ACB'!S25*(1+$C$3)</f>
        <v>326930.89300000004</v>
      </c>
      <c r="P27" s="46">
        <f>'1-ACB'!T25*(1+$C$3)</f>
        <v>326930.89300000004</v>
      </c>
      <c r="Q27" s="46">
        <f>'1-ACB'!U25*(1+$C$3)</f>
        <v>326930.89300000004</v>
      </c>
      <c r="R27" s="46">
        <f>'1-ACB'!V25*(1+$C$3)</f>
        <v>326930.89300000004</v>
      </c>
      <c r="S27" s="46">
        <f>'1-ACB'!W25*(1+$C$3)</f>
        <v>326930.89300000004</v>
      </c>
      <c r="T27" s="46">
        <f>'1-ACB'!X25*(1+$C$3)</f>
        <v>326930.89300000004</v>
      </c>
      <c r="U27" s="46">
        <f>'1-ACB'!Y25*(1+$C$3)</f>
        <v>326930.89300000004</v>
      </c>
      <c r="V27" s="46">
        <f>'1-ACB'!Z25*(1+$C$3)</f>
        <v>326930.89300000004</v>
      </c>
      <c r="W27" s="46">
        <f>'1-ACB'!AA25*(1+$C$3)</f>
        <v>326930.89300000004</v>
      </c>
      <c r="X27" s="46">
        <f>'1-ACB'!AB25*(1+$C$3)</f>
        <v>326930.89300000004</v>
      </c>
      <c r="Y27" s="46">
        <f>'1-ACB'!AC25*(1+$C$3)</f>
        <v>326930.89300000004</v>
      </c>
      <c r="Z27" s="46">
        <f>'1-ACB'!AD25*(1+$C$3)</f>
        <v>326930.89300000004</v>
      </c>
      <c r="AA27" s="46">
        <f>'1-ACB'!AE25*(1+$C$3)</f>
        <v>326930.89300000004</v>
      </c>
      <c r="AB27" s="46">
        <f>'1-ACB'!AF25*(1+$C$3)</f>
        <v>326930.89300000004</v>
      </c>
      <c r="AC27" s="46">
        <f>'1-ACB'!AG25*(1+$C$3)</f>
        <v>326930.89300000004</v>
      </c>
      <c r="AD27" s="46">
        <f>'1-ACB'!AH25*(1+$C$3)</f>
        <v>326930.89300000004</v>
      </c>
      <c r="AE27" s="46">
        <f>'1-ACB'!AI25*(1+$C$3)</f>
        <v>326930.89300000004</v>
      </c>
      <c r="AF27" s="46">
        <f>'1-ACB'!AJ25*(1+$C$3)</f>
        <v>326930.89300000004</v>
      </c>
      <c r="AG27" s="46">
        <f>'1-ACB'!AK25*(1+$C$3)</f>
        <v>326930.89300000004</v>
      </c>
      <c r="AH27" s="46">
        <f>'1-ACB'!AL25*(1+$C$3)</f>
        <v>326930.89300000004</v>
      </c>
      <c r="AI27" s="46">
        <f>'1-ACB'!AM25*(1+$C$3)</f>
        <v>326930.89300000004</v>
      </c>
      <c r="AJ27" s="46">
        <f>'1-ACB'!AN25*(1+$C$3)</f>
        <v>326930.89300000004</v>
      </c>
      <c r="AK27" s="46">
        <f>'1-ACB'!AO25*(1+$C$3)</f>
        <v>326930.89300000004</v>
      </c>
      <c r="AL27" s="46">
        <f>'1-ACB'!AP25*(1+$C$3)</f>
        <v>326930.89300000004</v>
      </c>
      <c r="AM27" s="46">
        <f>'1-ACB'!AQ25*(1+$C$3)</f>
        <v>326930.89300000004</v>
      </c>
      <c r="AN27" s="46">
        <f>'1-ACB'!AR25*(1+$C$3)</f>
        <v>326930.89300000004</v>
      </c>
      <c r="AO27" s="46">
        <f>'1-ACB'!AS25*(1+$C$3)</f>
        <v>326930.89300000004</v>
      </c>
      <c r="AP27" s="46">
        <f>'1-ACB'!AT25*(1+$C$3)</f>
        <v>326930.89300000004</v>
      </c>
      <c r="AQ27" s="46">
        <f>'1-ACB'!AU25*(1+$C$3)</f>
        <v>326930.89300000004</v>
      </c>
      <c r="AR27" s="46">
        <f>'1-ACB'!AV25*(1+$C$3)</f>
        <v>326930.89300000004</v>
      </c>
      <c r="AS27" s="46">
        <f>'1-ACB'!AW25*(1+$C$3)</f>
        <v>326930.89300000004</v>
      </c>
      <c r="AT27" s="46">
        <f>'1-ACB'!AX25*(1+$C$3)</f>
        <v>326930.89300000004</v>
      </c>
      <c r="AU27" s="46">
        <f>'1-ACB'!AY25*(1+$C$3)</f>
        <v>326930.89300000004</v>
      </c>
      <c r="AV27" s="46">
        <f>'1-ACB'!AZ25*(1+$C$3)</f>
        <v>326930.89300000004</v>
      </c>
      <c r="AW27" s="46">
        <f>'1-ACB'!BA25*(1+$C$3)</f>
        <v>326930.89300000004</v>
      </c>
      <c r="AX27" s="46">
        <f>'1-ACB'!BB25*(1+$C$3)</f>
        <v>326930.89300000004</v>
      </c>
      <c r="AY27" s="46">
        <f>'1-ACB'!BC25*(1+$C$3)</f>
        <v>326930.89300000004</v>
      </c>
      <c r="AZ27" s="46">
        <f>'1-ACB'!BD25*(1+$C$3)</f>
        <v>326930.89300000004</v>
      </c>
      <c r="BA27" s="46">
        <f>'1-ACB'!BE25*(1+$C$3)</f>
        <v>326930.89300000004</v>
      </c>
    </row>
    <row r="28" spans="2:53">
      <c r="B28" s="49" t="s">
        <v>11</v>
      </c>
      <c r="C28" s="111"/>
      <c r="I28" s="46">
        <f>'1-ACB'!M26*(1+$C$3)</f>
        <v>196504.573</v>
      </c>
      <c r="J28" s="46">
        <f>'1-ACB'!N26*(1+$C$3)</f>
        <v>196504.573</v>
      </c>
      <c r="K28" s="46">
        <f>'1-ACB'!O26*(1+$C$3)</f>
        <v>196504.573</v>
      </c>
      <c r="L28" s="46">
        <f>'1-ACB'!P26*(1+$C$3)</f>
        <v>196504.573</v>
      </c>
      <c r="M28" s="46">
        <f>'1-ACB'!Q26*(1+$C$3)</f>
        <v>196504.573</v>
      </c>
      <c r="N28" s="46">
        <f>'1-ACB'!R26*(1+$C$3)</f>
        <v>196504.573</v>
      </c>
      <c r="O28" s="46">
        <f>'1-ACB'!S26*(1+$C$3)</f>
        <v>196504.573</v>
      </c>
      <c r="P28" s="46">
        <f>'1-ACB'!T26*(1+$C$3)</f>
        <v>196504.573</v>
      </c>
      <c r="Q28" s="46">
        <f>'1-ACB'!U26*(1+$C$3)</f>
        <v>196504.573</v>
      </c>
      <c r="R28" s="46">
        <f>'1-ACB'!V26*(1+$C$3)</f>
        <v>196504.573</v>
      </c>
      <c r="S28" s="46">
        <f>'1-ACB'!W26*(1+$C$3)</f>
        <v>196504.573</v>
      </c>
      <c r="T28" s="46">
        <f>'1-ACB'!X26*(1+$C$3)</f>
        <v>196504.573</v>
      </c>
      <c r="U28" s="46">
        <f>'1-ACB'!Y26*(1+$C$3)</f>
        <v>196504.573</v>
      </c>
      <c r="V28" s="46">
        <f>'1-ACB'!Z26*(1+$C$3)</f>
        <v>196504.573</v>
      </c>
      <c r="W28" s="46">
        <f>'1-ACB'!AA26*(1+$C$3)</f>
        <v>196504.573</v>
      </c>
      <c r="X28" s="46">
        <f>'1-ACB'!AB26*(1+$C$3)</f>
        <v>196504.573</v>
      </c>
      <c r="Y28" s="46">
        <f>'1-ACB'!AC26*(1+$C$3)</f>
        <v>196504.573</v>
      </c>
      <c r="Z28" s="46">
        <f>'1-ACB'!AD26*(1+$C$3)</f>
        <v>196504.573</v>
      </c>
      <c r="AA28" s="46">
        <f>'1-ACB'!AE26*(1+$C$3)</f>
        <v>196504.573</v>
      </c>
      <c r="AB28" s="46">
        <f>'1-ACB'!AF26*(1+$C$3)</f>
        <v>196504.573</v>
      </c>
      <c r="AC28" s="46">
        <f>'1-ACB'!AG26*(1+$C$3)</f>
        <v>196504.573</v>
      </c>
      <c r="AD28" s="46">
        <f>'1-ACB'!AH26*(1+$C$3)</f>
        <v>196504.573</v>
      </c>
      <c r="AE28" s="46">
        <f>'1-ACB'!AI26*(1+$C$3)</f>
        <v>196504.573</v>
      </c>
      <c r="AF28" s="46">
        <f>'1-ACB'!AJ26*(1+$C$3)</f>
        <v>196504.573</v>
      </c>
      <c r="AG28" s="46">
        <f>'1-ACB'!AK26*(1+$C$3)</f>
        <v>196504.573</v>
      </c>
      <c r="AH28" s="46">
        <f>'1-ACB'!AL26*(1+$C$3)</f>
        <v>196504.573</v>
      </c>
      <c r="AI28" s="46">
        <f>'1-ACB'!AM26*(1+$C$3)</f>
        <v>196504.573</v>
      </c>
      <c r="AJ28" s="46">
        <f>'1-ACB'!AN26*(1+$C$3)</f>
        <v>196504.573</v>
      </c>
      <c r="AK28" s="46">
        <f>'1-ACB'!AO26*(1+$C$3)</f>
        <v>196504.573</v>
      </c>
      <c r="AL28" s="46">
        <f>'1-ACB'!AP26*(1+$C$3)</f>
        <v>196504.573</v>
      </c>
      <c r="AM28" s="46">
        <f>'1-ACB'!AQ26*(1+$C$3)</f>
        <v>196504.573</v>
      </c>
      <c r="AN28" s="46">
        <f>'1-ACB'!AR26*(1+$C$3)</f>
        <v>196504.573</v>
      </c>
      <c r="AO28" s="46">
        <f>'1-ACB'!AS26*(1+$C$3)</f>
        <v>196504.573</v>
      </c>
      <c r="AP28" s="46">
        <f>'1-ACB'!AT26*(1+$C$3)</f>
        <v>196504.573</v>
      </c>
      <c r="AQ28" s="46">
        <f>'1-ACB'!AU26*(1+$C$3)</f>
        <v>196504.573</v>
      </c>
      <c r="AR28" s="46">
        <f>'1-ACB'!AV26*(1+$C$3)</f>
        <v>196504.573</v>
      </c>
      <c r="AS28" s="46">
        <f>'1-ACB'!AW26*(1+$C$3)</f>
        <v>196504.573</v>
      </c>
      <c r="AT28" s="46">
        <f>'1-ACB'!AX26*(1+$C$3)</f>
        <v>196504.573</v>
      </c>
      <c r="AU28" s="46">
        <f>'1-ACB'!AY26*(1+$C$3)</f>
        <v>196504.573</v>
      </c>
      <c r="AV28" s="46">
        <f>'1-ACB'!AZ26*(1+$C$3)</f>
        <v>196504.573</v>
      </c>
      <c r="AW28" s="46">
        <f>'1-ACB'!BA26*(1+$C$3)</f>
        <v>196504.573</v>
      </c>
      <c r="AX28" s="46">
        <f>'1-ACB'!BB26*(1+$C$3)</f>
        <v>196504.573</v>
      </c>
      <c r="AY28" s="46">
        <f>'1-ACB'!BC26*(1+$C$3)</f>
        <v>196504.573</v>
      </c>
      <c r="AZ28" s="46">
        <f>'1-ACB'!BD26*(1+$C$3)</f>
        <v>196504.573</v>
      </c>
      <c r="BA28" s="46">
        <f>'1-ACB'!BE26*(1+$C$3)</f>
        <v>196504.573</v>
      </c>
    </row>
    <row r="29" spans="2:53">
      <c r="B29" s="49" t="s">
        <v>54</v>
      </c>
      <c r="C29" s="111"/>
      <c r="I29" s="46">
        <f>'1-ACB'!M27*(1+$C$3)</f>
        <v>6171808.5085000005</v>
      </c>
      <c r="J29" s="46">
        <f>'1-ACB'!N27*(1+$C$3)</f>
        <v>6171808.5085000005</v>
      </c>
      <c r="K29" s="46">
        <f>'1-ACB'!O27*(1+$C$3)</f>
        <v>6171808.5085000005</v>
      </c>
      <c r="L29" s="46">
        <f>'1-ACB'!P27*(1+$C$3)</f>
        <v>6171808.5085000005</v>
      </c>
      <c r="M29" s="46">
        <f>'1-ACB'!Q27*(1+$C$3)</f>
        <v>6171808.5085000005</v>
      </c>
      <c r="N29" s="46">
        <f>'1-ACB'!R27*(1+$C$3)</f>
        <v>6171808.5085000005</v>
      </c>
      <c r="O29" s="46">
        <f>'1-ACB'!S27*(1+$C$3)</f>
        <v>6171808.5085000005</v>
      </c>
      <c r="P29" s="46">
        <f>'1-ACB'!T27*(1+$C$3)</f>
        <v>6171808.5085000005</v>
      </c>
      <c r="Q29" s="46">
        <f>'1-ACB'!U27*(1+$C$3)</f>
        <v>6171808.5085000005</v>
      </c>
      <c r="R29" s="46">
        <f>'1-ACB'!V27*(1+$C$3)</f>
        <v>6171808.5085000005</v>
      </c>
      <c r="S29" s="46">
        <f>'1-ACB'!W27*(1+$C$3)</f>
        <v>6171808.5085000005</v>
      </c>
      <c r="T29" s="46">
        <f>'1-ACB'!X27*(1+$C$3)</f>
        <v>6171808.5085000005</v>
      </c>
      <c r="U29" s="46">
        <f>'1-ACB'!Y27*(1+$C$3)</f>
        <v>6171808.5085000005</v>
      </c>
      <c r="V29" s="46">
        <f>'1-ACB'!Z27*(1+$C$3)</f>
        <v>6171808.5085000005</v>
      </c>
      <c r="W29" s="46">
        <f>'1-ACB'!AA27*(1+$C$3)</f>
        <v>6171808.5085000005</v>
      </c>
      <c r="X29" s="46">
        <f>'1-ACB'!AB27*(1+$C$3)</f>
        <v>6171808.5085000005</v>
      </c>
      <c r="Y29" s="46">
        <f>'1-ACB'!AC27*(1+$C$3)</f>
        <v>6171808.5085000005</v>
      </c>
      <c r="Z29" s="46">
        <f>'1-ACB'!AD27*(1+$C$3)</f>
        <v>6171808.5085000005</v>
      </c>
      <c r="AA29" s="46">
        <f>'1-ACB'!AE27*(1+$C$3)</f>
        <v>6171808.5085000005</v>
      </c>
      <c r="AB29" s="46">
        <f>'1-ACB'!AF27*(1+$C$3)</f>
        <v>6171808.5085000005</v>
      </c>
      <c r="AC29" s="46">
        <f>'1-ACB'!AG27*(1+$C$3)</f>
        <v>6171808.5085000005</v>
      </c>
      <c r="AD29" s="46">
        <f>'1-ACB'!AH27*(1+$C$3)</f>
        <v>6171808.5085000005</v>
      </c>
      <c r="AE29" s="46">
        <f>'1-ACB'!AI27*(1+$C$3)</f>
        <v>6171808.5085000005</v>
      </c>
      <c r="AF29" s="46">
        <f>'1-ACB'!AJ27*(1+$C$3)</f>
        <v>6171808.5085000005</v>
      </c>
      <c r="AG29" s="46">
        <f>'1-ACB'!AK27*(1+$C$3)</f>
        <v>6171808.5085000005</v>
      </c>
      <c r="AH29" s="46">
        <f>'1-ACB'!AL27*(1+$C$3)</f>
        <v>6171808.5085000005</v>
      </c>
      <c r="AI29" s="46">
        <f>'1-ACB'!AM27*(1+$C$3)</f>
        <v>6171808.5085000005</v>
      </c>
      <c r="AJ29" s="46">
        <f>'1-ACB'!AN27*(1+$C$3)</f>
        <v>6171808.5085000005</v>
      </c>
      <c r="AK29" s="46">
        <f>'1-ACB'!AO27*(1+$C$3)</f>
        <v>6171808.5085000005</v>
      </c>
      <c r="AL29" s="46">
        <f>'1-ACB'!AP27*(1+$C$3)</f>
        <v>6171808.5085000005</v>
      </c>
      <c r="AM29" s="46">
        <f>'1-ACB'!AQ27*(1+$C$3)</f>
        <v>6171808.5085000005</v>
      </c>
      <c r="AN29" s="46">
        <f>'1-ACB'!AR27*(1+$C$3)</f>
        <v>6171808.5085000005</v>
      </c>
      <c r="AO29" s="46">
        <f>'1-ACB'!AS27*(1+$C$3)</f>
        <v>6171808.5085000005</v>
      </c>
      <c r="AP29" s="46">
        <f>'1-ACB'!AT27*(1+$C$3)</f>
        <v>6171808.5085000005</v>
      </c>
      <c r="AQ29" s="46">
        <f>'1-ACB'!AU27*(1+$C$3)</f>
        <v>6171808.5085000005</v>
      </c>
      <c r="AR29" s="46">
        <f>'1-ACB'!AV27*(1+$C$3)</f>
        <v>6171808.5085000005</v>
      </c>
      <c r="AS29" s="46">
        <f>'1-ACB'!AW27*(1+$C$3)</f>
        <v>6171808.5085000005</v>
      </c>
      <c r="AT29" s="46">
        <f>'1-ACB'!AX27*(1+$C$3)</f>
        <v>6171808.5085000005</v>
      </c>
      <c r="AU29" s="46">
        <f>'1-ACB'!AY27*(1+$C$3)</f>
        <v>6171808.5085000005</v>
      </c>
      <c r="AV29" s="46">
        <f>'1-ACB'!AZ27*(1+$C$3)</f>
        <v>6171808.5085000005</v>
      </c>
      <c r="AW29" s="46">
        <f>'1-ACB'!BA27*(1+$C$3)</f>
        <v>6171808.5085000005</v>
      </c>
      <c r="AX29" s="46">
        <f>'1-ACB'!BB27*(1+$C$3)</f>
        <v>6171808.5085000005</v>
      </c>
      <c r="AY29" s="46">
        <f>'1-ACB'!BC27*(1+$C$3)</f>
        <v>6171808.5085000005</v>
      </c>
      <c r="AZ29" s="46">
        <f>'1-ACB'!BD27*(1+$C$3)</f>
        <v>6171808.5085000005</v>
      </c>
      <c r="BA29" s="46">
        <f>'1-ACB'!BE27*(1+$C$3)</f>
        <v>6171808.5085000005</v>
      </c>
    </row>
    <row r="30" spans="2:53">
      <c r="B30" s="23" t="s">
        <v>56</v>
      </c>
      <c r="C30" s="113"/>
      <c r="D30" s="109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2:53">
      <c r="B31" s="49" t="s">
        <v>9</v>
      </c>
      <c r="C31" s="111"/>
      <c r="I31" s="46">
        <f>'1-ACB'!M29*(1+$C$3)</f>
        <v>43595049.401809692</v>
      </c>
      <c r="J31" s="46">
        <f>'1-ACB'!N29*(1+$C$3)</f>
        <v>43595049.401809692</v>
      </c>
      <c r="K31" s="46">
        <f>'1-ACB'!O29*(1+$C$3)</f>
        <v>43595049.401809692</v>
      </c>
      <c r="L31" s="46">
        <f>'1-ACB'!P29*(1+$C$3)</f>
        <v>43595049.401809692</v>
      </c>
      <c r="M31" s="46">
        <f>'1-ACB'!Q29*(1+$C$3)</f>
        <v>43595049.401809692</v>
      </c>
      <c r="N31" s="46">
        <f>'1-ACB'!R29*(1+$C$3)</f>
        <v>43595049.401809692</v>
      </c>
      <c r="O31" s="46">
        <f>'1-ACB'!S29*(1+$C$3)</f>
        <v>43595049.401809692</v>
      </c>
      <c r="P31" s="46">
        <f>'1-ACB'!T29*(1+$C$3)</f>
        <v>43595049.401809692</v>
      </c>
      <c r="Q31" s="46">
        <f>'1-ACB'!U29*(1+$C$3)</f>
        <v>43595049.401809692</v>
      </c>
      <c r="R31" s="46">
        <f>'1-ACB'!V29*(1+$C$3)</f>
        <v>43595049.401809692</v>
      </c>
      <c r="S31" s="46">
        <f>'1-ACB'!W29*(1+$C$3)</f>
        <v>43595049.401809692</v>
      </c>
      <c r="T31" s="46">
        <f>'1-ACB'!X29*(1+$C$3)</f>
        <v>43595049.401809692</v>
      </c>
      <c r="U31" s="46">
        <f>'1-ACB'!Y29*(1+$C$3)</f>
        <v>43595049.401809692</v>
      </c>
      <c r="V31" s="46">
        <f>'1-ACB'!Z29*(1+$C$3)</f>
        <v>43595049.401809692</v>
      </c>
      <c r="W31" s="46">
        <f>'1-ACB'!AA29*(1+$C$3)</f>
        <v>43595049.401809692</v>
      </c>
      <c r="X31" s="46">
        <f>'1-ACB'!AB29*(1+$C$3)</f>
        <v>43595049.401809692</v>
      </c>
      <c r="Y31" s="46">
        <f>'1-ACB'!AC29*(1+$C$3)</f>
        <v>43595049.401809692</v>
      </c>
      <c r="Z31" s="46">
        <f>'1-ACB'!AD29*(1+$C$3)</f>
        <v>43595049.401809692</v>
      </c>
      <c r="AA31" s="46">
        <f>'1-ACB'!AE29*(1+$C$3)</f>
        <v>43595049.401809692</v>
      </c>
      <c r="AB31" s="46">
        <f>'1-ACB'!AF29*(1+$C$3)</f>
        <v>43595049.401809692</v>
      </c>
      <c r="AC31" s="46">
        <f>'1-ACB'!AG29*(1+$C$3)</f>
        <v>43595049.401809692</v>
      </c>
      <c r="AD31" s="46">
        <f>'1-ACB'!AH29*(1+$C$3)</f>
        <v>43595049.401809692</v>
      </c>
      <c r="AE31" s="46">
        <f>'1-ACB'!AI29*(1+$C$3)</f>
        <v>43595049.401809692</v>
      </c>
      <c r="AF31" s="46">
        <f>'1-ACB'!AJ29*(1+$C$3)</f>
        <v>43595049.401809692</v>
      </c>
      <c r="AG31" s="46">
        <f>'1-ACB'!AK29*(1+$C$3)</f>
        <v>43595049.401809692</v>
      </c>
      <c r="AH31" s="46">
        <f>'1-ACB'!AL29*(1+$C$3)</f>
        <v>43595049.401809692</v>
      </c>
      <c r="AI31" s="46">
        <f>'1-ACB'!AM29*(1+$C$3)</f>
        <v>43595049.401809692</v>
      </c>
      <c r="AJ31" s="46">
        <f>'1-ACB'!AN29*(1+$C$3)</f>
        <v>43595049.401809692</v>
      </c>
      <c r="AK31" s="46">
        <f>'1-ACB'!AO29*(1+$C$3)</f>
        <v>43595049.401809692</v>
      </c>
      <c r="AL31" s="46">
        <f>'1-ACB'!AP29*(1+$C$3)</f>
        <v>43595049.401809692</v>
      </c>
      <c r="AM31" s="46">
        <f>'1-ACB'!AQ29*(1+$C$3)</f>
        <v>43595049.401809692</v>
      </c>
      <c r="AN31" s="46">
        <f>'1-ACB'!AR29*(1+$C$3)</f>
        <v>43595049.401809692</v>
      </c>
      <c r="AO31" s="46">
        <f>'1-ACB'!AS29*(1+$C$3)</f>
        <v>43595049.401809692</v>
      </c>
      <c r="AP31" s="46">
        <f>'1-ACB'!AT29*(1+$C$3)</f>
        <v>43595049.401809692</v>
      </c>
      <c r="AQ31" s="46">
        <f>'1-ACB'!AU29*(1+$C$3)</f>
        <v>43595049.401809692</v>
      </c>
      <c r="AR31" s="46">
        <f>'1-ACB'!AV29*(1+$C$3)</f>
        <v>43595049.401809692</v>
      </c>
      <c r="AS31" s="46">
        <f>'1-ACB'!AW29*(1+$C$3)</f>
        <v>43595049.401809692</v>
      </c>
      <c r="AT31" s="46">
        <f>'1-ACB'!AX29*(1+$C$3)</f>
        <v>43595049.401809692</v>
      </c>
      <c r="AU31" s="46">
        <f>'1-ACB'!AY29*(1+$C$3)</f>
        <v>43595049.401809692</v>
      </c>
      <c r="AV31" s="46">
        <f>'1-ACB'!AZ29*(1+$C$3)</f>
        <v>43595049.401809692</v>
      </c>
      <c r="AW31" s="46">
        <f>'1-ACB'!BA29*(1+$C$3)</f>
        <v>43595049.401809692</v>
      </c>
      <c r="AX31" s="46">
        <f>'1-ACB'!BB29*(1+$C$3)</f>
        <v>43595049.401809692</v>
      </c>
      <c r="AY31" s="46">
        <f>'1-ACB'!BC29*(1+$C$3)</f>
        <v>43595049.401809692</v>
      </c>
      <c r="AZ31" s="46">
        <f>'1-ACB'!BD29*(1+$C$3)</f>
        <v>43595049.401809692</v>
      </c>
      <c r="BA31" s="46">
        <f>'1-ACB'!BE29*(1+$C$3)</f>
        <v>43595049.401809692</v>
      </c>
    </row>
    <row r="32" spans="2:53">
      <c r="B32" s="49" t="s">
        <v>53</v>
      </c>
      <c r="C32" s="111"/>
      <c r="I32" s="46">
        <f>'1-ACB'!M30*(1+$C$3)</f>
        <v>859168.90146753192</v>
      </c>
      <c r="J32" s="46">
        <f>'1-ACB'!N30*(1+$C$3)</f>
        <v>859168.90146753192</v>
      </c>
      <c r="K32" s="46">
        <f>'1-ACB'!O30*(1+$C$3)</f>
        <v>859168.90146753192</v>
      </c>
      <c r="L32" s="46">
        <f>'1-ACB'!P30*(1+$C$3)</f>
        <v>859168.90146753192</v>
      </c>
      <c r="M32" s="46">
        <f>'1-ACB'!Q30*(1+$C$3)</f>
        <v>859168.90146753192</v>
      </c>
      <c r="N32" s="46">
        <f>'1-ACB'!R30*(1+$C$3)</f>
        <v>859168.90146753192</v>
      </c>
      <c r="O32" s="46">
        <f>'1-ACB'!S30*(1+$C$3)</f>
        <v>859168.90146753192</v>
      </c>
      <c r="P32" s="46">
        <f>'1-ACB'!T30*(1+$C$3)</f>
        <v>859168.90146753192</v>
      </c>
      <c r="Q32" s="46">
        <f>'1-ACB'!U30*(1+$C$3)</f>
        <v>859168.90146753192</v>
      </c>
      <c r="R32" s="46">
        <f>'1-ACB'!V30*(1+$C$3)</f>
        <v>859168.90146753192</v>
      </c>
      <c r="S32" s="46">
        <f>'1-ACB'!W30*(1+$C$3)</f>
        <v>859168.90146753192</v>
      </c>
      <c r="T32" s="46">
        <f>'1-ACB'!X30*(1+$C$3)</f>
        <v>859168.90146753192</v>
      </c>
      <c r="U32" s="46">
        <f>'1-ACB'!Y30*(1+$C$3)</f>
        <v>859168.90146753192</v>
      </c>
      <c r="V32" s="46">
        <f>'1-ACB'!Z30*(1+$C$3)</f>
        <v>859168.90146753192</v>
      </c>
      <c r="W32" s="46">
        <f>'1-ACB'!AA30*(1+$C$3)</f>
        <v>859168.90146753192</v>
      </c>
      <c r="X32" s="46">
        <f>'1-ACB'!AB30*(1+$C$3)</f>
        <v>859168.90146753192</v>
      </c>
      <c r="Y32" s="46">
        <f>'1-ACB'!AC30*(1+$C$3)</f>
        <v>859168.90146753192</v>
      </c>
      <c r="Z32" s="46">
        <f>'1-ACB'!AD30*(1+$C$3)</f>
        <v>859168.90146753192</v>
      </c>
      <c r="AA32" s="46">
        <f>'1-ACB'!AE30*(1+$C$3)</f>
        <v>859168.90146753192</v>
      </c>
      <c r="AB32" s="46">
        <f>'1-ACB'!AF30*(1+$C$3)</f>
        <v>859168.90146753192</v>
      </c>
      <c r="AC32" s="46">
        <f>'1-ACB'!AG30*(1+$C$3)</f>
        <v>859168.90146753192</v>
      </c>
      <c r="AD32" s="46">
        <f>'1-ACB'!AH30*(1+$C$3)</f>
        <v>859168.90146753192</v>
      </c>
      <c r="AE32" s="46">
        <f>'1-ACB'!AI30*(1+$C$3)</f>
        <v>859168.90146753192</v>
      </c>
      <c r="AF32" s="46">
        <f>'1-ACB'!AJ30*(1+$C$3)</f>
        <v>859168.90146753192</v>
      </c>
      <c r="AG32" s="46">
        <f>'1-ACB'!AK30*(1+$C$3)</f>
        <v>859168.90146753192</v>
      </c>
      <c r="AH32" s="46">
        <f>'1-ACB'!AL30*(1+$C$3)</f>
        <v>859168.90146753192</v>
      </c>
      <c r="AI32" s="46">
        <f>'1-ACB'!AM30*(1+$C$3)</f>
        <v>859168.90146753192</v>
      </c>
      <c r="AJ32" s="46">
        <f>'1-ACB'!AN30*(1+$C$3)</f>
        <v>859168.90146753192</v>
      </c>
      <c r="AK32" s="46">
        <f>'1-ACB'!AO30*(1+$C$3)</f>
        <v>859168.90146753192</v>
      </c>
      <c r="AL32" s="46">
        <f>'1-ACB'!AP30*(1+$C$3)</f>
        <v>859168.90146753192</v>
      </c>
      <c r="AM32" s="46">
        <f>'1-ACB'!AQ30*(1+$C$3)</f>
        <v>859168.90146753192</v>
      </c>
      <c r="AN32" s="46">
        <f>'1-ACB'!AR30*(1+$C$3)</f>
        <v>859168.90146753192</v>
      </c>
      <c r="AO32" s="46">
        <f>'1-ACB'!AS30*(1+$C$3)</f>
        <v>859168.90146753192</v>
      </c>
      <c r="AP32" s="46">
        <f>'1-ACB'!AT30*(1+$C$3)</f>
        <v>859168.90146753192</v>
      </c>
      <c r="AQ32" s="46">
        <f>'1-ACB'!AU30*(1+$C$3)</f>
        <v>859168.90146753192</v>
      </c>
      <c r="AR32" s="46">
        <f>'1-ACB'!AV30*(1+$C$3)</f>
        <v>859168.90146753192</v>
      </c>
      <c r="AS32" s="46">
        <f>'1-ACB'!AW30*(1+$C$3)</f>
        <v>859168.90146753192</v>
      </c>
      <c r="AT32" s="46">
        <f>'1-ACB'!AX30*(1+$C$3)</f>
        <v>859168.90146753192</v>
      </c>
      <c r="AU32" s="46">
        <f>'1-ACB'!AY30*(1+$C$3)</f>
        <v>859168.90146753192</v>
      </c>
      <c r="AV32" s="46">
        <f>'1-ACB'!AZ30*(1+$C$3)</f>
        <v>859168.90146753192</v>
      </c>
      <c r="AW32" s="46">
        <f>'1-ACB'!BA30*(1+$C$3)</f>
        <v>859168.90146753192</v>
      </c>
      <c r="AX32" s="46">
        <f>'1-ACB'!BB30*(1+$C$3)</f>
        <v>859168.90146753192</v>
      </c>
      <c r="AY32" s="46">
        <f>'1-ACB'!BC30*(1+$C$3)</f>
        <v>859168.90146753192</v>
      </c>
      <c r="AZ32" s="46">
        <f>'1-ACB'!BD30*(1+$C$3)</f>
        <v>859168.90146753192</v>
      </c>
      <c r="BA32" s="46">
        <f>'1-ACB'!BE30*(1+$C$3)</f>
        <v>859168.90146753192</v>
      </c>
    </row>
    <row r="33" spans="2:53">
      <c r="B33" s="49" t="s">
        <v>11</v>
      </c>
      <c r="C33" s="111"/>
      <c r="I33" s="46">
        <f>'1-ACB'!M31*(1+$C$3)</f>
        <v>61372.366081380285</v>
      </c>
      <c r="J33" s="46">
        <f>'1-ACB'!N31*(1+$C$3)</f>
        <v>61372.366081380285</v>
      </c>
      <c r="K33" s="46">
        <f>'1-ACB'!O31*(1+$C$3)</f>
        <v>61372.366081380285</v>
      </c>
      <c r="L33" s="46">
        <f>'1-ACB'!P31*(1+$C$3)</f>
        <v>61372.366081380285</v>
      </c>
      <c r="M33" s="46">
        <f>'1-ACB'!Q31*(1+$C$3)</f>
        <v>61372.366081380285</v>
      </c>
      <c r="N33" s="46">
        <f>'1-ACB'!R31*(1+$C$3)</f>
        <v>61372.366081380285</v>
      </c>
      <c r="O33" s="46">
        <f>'1-ACB'!S31*(1+$C$3)</f>
        <v>61372.366081380285</v>
      </c>
      <c r="P33" s="46">
        <f>'1-ACB'!T31*(1+$C$3)</f>
        <v>61372.366081380285</v>
      </c>
      <c r="Q33" s="46">
        <f>'1-ACB'!U31*(1+$C$3)</f>
        <v>61372.366081380285</v>
      </c>
      <c r="R33" s="46">
        <f>'1-ACB'!V31*(1+$C$3)</f>
        <v>61372.366081380285</v>
      </c>
      <c r="S33" s="46">
        <f>'1-ACB'!W31*(1+$C$3)</f>
        <v>61372.366081380285</v>
      </c>
      <c r="T33" s="46">
        <f>'1-ACB'!X31*(1+$C$3)</f>
        <v>61372.366081380285</v>
      </c>
      <c r="U33" s="46">
        <f>'1-ACB'!Y31*(1+$C$3)</f>
        <v>61372.366081380285</v>
      </c>
      <c r="V33" s="46">
        <f>'1-ACB'!Z31*(1+$C$3)</f>
        <v>61372.366081380285</v>
      </c>
      <c r="W33" s="46">
        <f>'1-ACB'!AA31*(1+$C$3)</f>
        <v>61372.366081380285</v>
      </c>
      <c r="X33" s="46">
        <f>'1-ACB'!AB31*(1+$C$3)</f>
        <v>61372.366081380285</v>
      </c>
      <c r="Y33" s="46">
        <f>'1-ACB'!AC31*(1+$C$3)</f>
        <v>61372.366081380285</v>
      </c>
      <c r="Z33" s="46">
        <f>'1-ACB'!AD31*(1+$C$3)</f>
        <v>61372.366081380285</v>
      </c>
      <c r="AA33" s="46">
        <f>'1-ACB'!AE31*(1+$C$3)</f>
        <v>61372.366081380285</v>
      </c>
      <c r="AB33" s="46">
        <f>'1-ACB'!AF31*(1+$C$3)</f>
        <v>61372.366081380285</v>
      </c>
      <c r="AC33" s="46">
        <f>'1-ACB'!AG31*(1+$C$3)</f>
        <v>61372.366081380285</v>
      </c>
      <c r="AD33" s="46">
        <f>'1-ACB'!AH31*(1+$C$3)</f>
        <v>61372.366081380285</v>
      </c>
      <c r="AE33" s="46">
        <f>'1-ACB'!AI31*(1+$C$3)</f>
        <v>61372.366081380285</v>
      </c>
      <c r="AF33" s="46">
        <f>'1-ACB'!AJ31*(1+$C$3)</f>
        <v>61372.366081380285</v>
      </c>
      <c r="AG33" s="46">
        <f>'1-ACB'!AK31*(1+$C$3)</f>
        <v>61372.366081380285</v>
      </c>
      <c r="AH33" s="46">
        <f>'1-ACB'!AL31*(1+$C$3)</f>
        <v>61372.366081380285</v>
      </c>
      <c r="AI33" s="46">
        <f>'1-ACB'!AM31*(1+$C$3)</f>
        <v>61372.366081380285</v>
      </c>
      <c r="AJ33" s="46">
        <f>'1-ACB'!AN31*(1+$C$3)</f>
        <v>61372.366081380285</v>
      </c>
      <c r="AK33" s="46">
        <f>'1-ACB'!AO31*(1+$C$3)</f>
        <v>61372.366081380285</v>
      </c>
      <c r="AL33" s="46">
        <f>'1-ACB'!AP31*(1+$C$3)</f>
        <v>61372.366081380285</v>
      </c>
      <c r="AM33" s="46">
        <f>'1-ACB'!AQ31*(1+$C$3)</f>
        <v>61372.366081380285</v>
      </c>
      <c r="AN33" s="46">
        <f>'1-ACB'!AR31*(1+$C$3)</f>
        <v>61372.366081380285</v>
      </c>
      <c r="AO33" s="46">
        <f>'1-ACB'!AS31*(1+$C$3)</f>
        <v>61372.366081380285</v>
      </c>
      <c r="AP33" s="46">
        <f>'1-ACB'!AT31*(1+$C$3)</f>
        <v>61372.366081380285</v>
      </c>
      <c r="AQ33" s="46">
        <f>'1-ACB'!AU31*(1+$C$3)</f>
        <v>61372.366081380285</v>
      </c>
      <c r="AR33" s="46">
        <f>'1-ACB'!AV31*(1+$C$3)</f>
        <v>61372.366081380285</v>
      </c>
      <c r="AS33" s="46">
        <f>'1-ACB'!AW31*(1+$C$3)</f>
        <v>61372.366081380285</v>
      </c>
      <c r="AT33" s="46">
        <f>'1-ACB'!AX31*(1+$C$3)</f>
        <v>61372.366081380285</v>
      </c>
      <c r="AU33" s="46">
        <f>'1-ACB'!AY31*(1+$C$3)</f>
        <v>61372.366081380285</v>
      </c>
      <c r="AV33" s="46">
        <f>'1-ACB'!AZ31*(1+$C$3)</f>
        <v>61372.366081380285</v>
      </c>
      <c r="AW33" s="46">
        <f>'1-ACB'!BA31*(1+$C$3)</f>
        <v>61372.366081380285</v>
      </c>
      <c r="AX33" s="46">
        <f>'1-ACB'!BB31*(1+$C$3)</f>
        <v>61372.366081380285</v>
      </c>
      <c r="AY33" s="46">
        <f>'1-ACB'!BC31*(1+$C$3)</f>
        <v>61372.366081380285</v>
      </c>
      <c r="AZ33" s="46">
        <f>'1-ACB'!BD31*(1+$C$3)</f>
        <v>61372.366081380285</v>
      </c>
      <c r="BA33" s="46">
        <f>'1-ACB'!BE31*(1+$C$3)</f>
        <v>61372.366081380285</v>
      </c>
    </row>
    <row r="34" spans="2:53">
      <c r="B34" s="49" t="s">
        <v>54</v>
      </c>
      <c r="C34" s="111"/>
      <c r="I34" s="46">
        <f>'1-ACB'!M32*(1+$C$3)</f>
        <v>15308836.20136404</v>
      </c>
      <c r="J34" s="46">
        <f>'1-ACB'!N32*(1+$C$3)</f>
        <v>15308836.20136404</v>
      </c>
      <c r="K34" s="46">
        <f>'1-ACB'!O32*(1+$C$3)</f>
        <v>15308836.20136404</v>
      </c>
      <c r="L34" s="46">
        <f>'1-ACB'!P32*(1+$C$3)</f>
        <v>15308836.20136404</v>
      </c>
      <c r="M34" s="46">
        <f>'1-ACB'!Q32*(1+$C$3)</f>
        <v>15308836.20136404</v>
      </c>
      <c r="N34" s="46">
        <f>'1-ACB'!R32*(1+$C$3)</f>
        <v>15308836.20136404</v>
      </c>
      <c r="O34" s="46">
        <f>'1-ACB'!S32*(1+$C$3)</f>
        <v>15308836.20136404</v>
      </c>
      <c r="P34" s="46">
        <f>'1-ACB'!T32*(1+$C$3)</f>
        <v>15308836.20136404</v>
      </c>
      <c r="Q34" s="46">
        <f>'1-ACB'!U32*(1+$C$3)</f>
        <v>15308836.20136404</v>
      </c>
      <c r="R34" s="46">
        <f>'1-ACB'!V32*(1+$C$3)</f>
        <v>15308836.20136404</v>
      </c>
      <c r="S34" s="46">
        <f>'1-ACB'!W32*(1+$C$3)</f>
        <v>15308836.20136404</v>
      </c>
      <c r="T34" s="46">
        <f>'1-ACB'!X32*(1+$C$3)</f>
        <v>15308836.20136404</v>
      </c>
      <c r="U34" s="46">
        <f>'1-ACB'!Y32*(1+$C$3)</f>
        <v>15308836.20136404</v>
      </c>
      <c r="V34" s="46">
        <f>'1-ACB'!Z32*(1+$C$3)</f>
        <v>15308836.20136404</v>
      </c>
      <c r="W34" s="46">
        <f>'1-ACB'!AA32*(1+$C$3)</f>
        <v>15308836.20136404</v>
      </c>
      <c r="X34" s="46">
        <f>'1-ACB'!AB32*(1+$C$3)</f>
        <v>15308836.20136404</v>
      </c>
      <c r="Y34" s="46">
        <f>'1-ACB'!AC32*(1+$C$3)</f>
        <v>15308836.20136404</v>
      </c>
      <c r="Z34" s="46">
        <f>'1-ACB'!AD32*(1+$C$3)</f>
        <v>15308836.20136404</v>
      </c>
      <c r="AA34" s="46">
        <f>'1-ACB'!AE32*(1+$C$3)</f>
        <v>15308836.20136404</v>
      </c>
      <c r="AB34" s="46">
        <f>'1-ACB'!AF32*(1+$C$3)</f>
        <v>15308836.20136404</v>
      </c>
      <c r="AC34" s="46">
        <f>'1-ACB'!AG32*(1+$C$3)</f>
        <v>15308836.20136404</v>
      </c>
      <c r="AD34" s="46">
        <f>'1-ACB'!AH32*(1+$C$3)</f>
        <v>15308836.20136404</v>
      </c>
      <c r="AE34" s="46">
        <f>'1-ACB'!AI32*(1+$C$3)</f>
        <v>15308836.20136404</v>
      </c>
      <c r="AF34" s="46">
        <f>'1-ACB'!AJ32*(1+$C$3)</f>
        <v>15308836.20136404</v>
      </c>
      <c r="AG34" s="46">
        <f>'1-ACB'!AK32*(1+$C$3)</f>
        <v>15308836.20136404</v>
      </c>
      <c r="AH34" s="46">
        <f>'1-ACB'!AL32*(1+$C$3)</f>
        <v>15308836.20136404</v>
      </c>
      <c r="AI34" s="46">
        <f>'1-ACB'!AM32*(1+$C$3)</f>
        <v>15308836.20136404</v>
      </c>
      <c r="AJ34" s="46">
        <f>'1-ACB'!AN32*(1+$C$3)</f>
        <v>15308836.20136404</v>
      </c>
      <c r="AK34" s="46">
        <f>'1-ACB'!AO32*(1+$C$3)</f>
        <v>15308836.20136404</v>
      </c>
      <c r="AL34" s="46">
        <f>'1-ACB'!AP32*(1+$C$3)</f>
        <v>15308836.20136404</v>
      </c>
      <c r="AM34" s="46">
        <f>'1-ACB'!AQ32*(1+$C$3)</f>
        <v>15308836.20136404</v>
      </c>
      <c r="AN34" s="46">
        <f>'1-ACB'!AR32*(1+$C$3)</f>
        <v>15308836.20136404</v>
      </c>
      <c r="AO34" s="46">
        <f>'1-ACB'!AS32*(1+$C$3)</f>
        <v>15308836.20136404</v>
      </c>
      <c r="AP34" s="46">
        <f>'1-ACB'!AT32*(1+$C$3)</f>
        <v>15308836.20136404</v>
      </c>
      <c r="AQ34" s="46">
        <f>'1-ACB'!AU32*(1+$C$3)</f>
        <v>15308836.20136404</v>
      </c>
      <c r="AR34" s="46">
        <f>'1-ACB'!AV32*(1+$C$3)</f>
        <v>15308836.20136404</v>
      </c>
      <c r="AS34" s="46">
        <f>'1-ACB'!AW32*(1+$C$3)</f>
        <v>15308836.20136404</v>
      </c>
      <c r="AT34" s="46">
        <f>'1-ACB'!AX32*(1+$C$3)</f>
        <v>15308836.20136404</v>
      </c>
      <c r="AU34" s="46">
        <f>'1-ACB'!AY32*(1+$C$3)</f>
        <v>15308836.20136404</v>
      </c>
      <c r="AV34" s="46">
        <f>'1-ACB'!AZ32*(1+$C$3)</f>
        <v>15308836.20136404</v>
      </c>
      <c r="AW34" s="46">
        <f>'1-ACB'!BA32*(1+$C$3)</f>
        <v>15308836.20136404</v>
      </c>
      <c r="AX34" s="46">
        <f>'1-ACB'!BB32*(1+$C$3)</f>
        <v>15308836.20136404</v>
      </c>
      <c r="AY34" s="46">
        <f>'1-ACB'!BC32*(1+$C$3)</f>
        <v>15308836.20136404</v>
      </c>
      <c r="AZ34" s="46">
        <f>'1-ACB'!BD32*(1+$C$3)</f>
        <v>15308836.20136404</v>
      </c>
      <c r="BA34" s="46">
        <f>'1-ACB'!BE32*(1+$C$3)</f>
        <v>15308836.20136404</v>
      </c>
    </row>
    <row r="35" spans="2:53">
      <c r="B35" s="108" t="s">
        <v>37</v>
      </c>
      <c r="C35" s="114">
        <f t="shared" ref="C35:H35" si="6">SUM(C26:C34)</f>
        <v>0</v>
      </c>
      <c r="D35" s="110">
        <f t="shared" si="6"/>
        <v>0</v>
      </c>
      <c r="E35" s="52">
        <f t="shared" si="6"/>
        <v>0</v>
      </c>
      <c r="F35" s="52">
        <f t="shared" si="6"/>
        <v>0</v>
      </c>
      <c r="G35" s="52">
        <f t="shared" si="6"/>
        <v>0</v>
      </c>
      <c r="H35" s="52">
        <f t="shared" si="6"/>
        <v>0</v>
      </c>
      <c r="I35" s="52">
        <f>SUM(I26:I34)</f>
        <v>73862866.699222654</v>
      </c>
      <c r="J35" s="52">
        <f t="shared" ref="J35:BA35" si="7">SUM(J26:J34)</f>
        <v>73862866.699222654</v>
      </c>
      <c r="K35" s="52">
        <f t="shared" si="7"/>
        <v>73862866.699222654</v>
      </c>
      <c r="L35" s="52">
        <f t="shared" si="7"/>
        <v>73862866.699222654</v>
      </c>
      <c r="M35" s="52">
        <f t="shared" si="7"/>
        <v>73862866.699222654</v>
      </c>
      <c r="N35" s="52">
        <f t="shared" si="7"/>
        <v>73862866.699222654</v>
      </c>
      <c r="O35" s="52">
        <f t="shared" si="7"/>
        <v>73862866.699222654</v>
      </c>
      <c r="P35" s="52">
        <f t="shared" si="7"/>
        <v>73862866.699222654</v>
      </c>
      <c r="Q35" s="52">
        <f t="shared" si="7"/>
        <v>73862866.699222654</v>
      </c>
      <c r="R35" s="52">
        <f t="shared" si="7"/>
        <v>73862866.699222654</v>
      </c>
      <c r="S35" s="52">
        <f t="shared" si="7"/>
        <v>73862866.699222654</v>
      </c>
      <c r="T35" s="52">
        <f t="shared" si="7"/>
        <v>73862866.699222654</v>
      </c>
      <c r="U35" s="52">
        <f t="shared" si="7"/>
        <v>73862866.699222654</v>
      </c>
      <c r="V35" s="52">
        <f t="shared" si="7"/>
        <v>73862866.699222654</v>
      </c>
      <c r="W35" s="52">
        <f t="shared" si="7"/>
        <v>73862866.699222654</v>
      </c>
      <c r="X35" s="52">
        <f t="shared" si="7"/>
        <v>73862866.699222654</v>
      </c>
      <c r="Y35" s="52">
        <f t="shared" si="7"/>
        <v>73862866.699222654</v>
      </c>
      <c r="Z35" s="52">
        <f t="shared" si="7"/>
        <v>73862866.699222654</v>
      </c>
      <c r="AA35" s="52">
        <f t="shared" si="7"/>
        <v>73862866.699222654</v>
      </c>
      <c r="AB35" s="52">
        <f t="shared" si="7"/>
        <v>73862866.699222654</v>
      </c>
      <c r="AC35" s="52">
        <f t="shared" si="7"/>
        <v>73862866.699222654</v>
      </c>
      <c r="AD35" s="52">
        <f t="shared" si="7"/>
        <v>73862866.699222654</v>
      </c>
      <c r="AE35" s="52">
        <f t="shared" si="7"/>
        <v>73862866.699222654</v>
      </c>
      <c r="AF35" s="52">
        <f t="shared" si="7"/>
        <v>73862866.699222654</v>
      </c>
      <c r="AG35" s="52">
        <f t="shared" si="7"/>
        <v>73862866.699222654</v>
      </c>
      <c r="AH35" s="52">
        <f t="shared" si="7"/>
        <v>73862866.699222654</v>
      </c>
      <c r="AI35" s="52">
        <f t="shared" si="7"/>
        <v>73862866.699222654</v>
      </c>
      <c r="AJ35" s="52">
        <f t="shared" si="7"/>
        <v>73862866.699222654</v>
      </c>
      <c r="AK35" s="52">
        <f t="shared" si="7"/>
        <v>73862866.699222654</v>
      </c>
      <c r="AL35" s="52">
        <f t="shared" si="7"/>
        <v>73862866.699222654</v>
      </c>
      <c r="AM35" s="52">
        <f t="shared" si="7"/>
        <v>73862866.699222654</v>
      </c>
      <c r="AN35" s="52">
        <f t="shared" si="7"/>
        <v>73862866.699222654</v>
      </c>
      <c r="AO35" s="52">
        <f t="shared" si="7"/>
        <v>73862866.699222654</v>
      </c>
      <c r="AP35" s="52">
        <f t="shared" si="7"/>
        <v>73862866.699222654</v>
      </c>
      <c r="AQ35" s="52">
        <f t="shared" si="7"/>
        <v>73862866.699222654</v>
      </c>
      <c r="AR35" s="52">
        <f t="shared" si="7"/>
        <v>73862866.699222654</v>
      </c>
      <c r="AS35" s="52">
        <f t="shared" si="7"/>
        <v>73862866.699222654</v>
      </c>
      <c r="AT35" s="52">
        <f t="shared" si="7"/>
        <v>73862866.699222654</v>
      </c>
      <c r="AU35" s="52">
        <f t="shared" si="7"/>
        <v>73862866.699222654</v>
      </c>
      <c r="AV35" s="52">
        <f t="shared" si="7"/>
        <v>73862866.699222654</v>
      </c>
      <c r="AW35" s="52">
        <f t="shared" si="7"/>
        <v>73862866.699222654</v>
      </c>
      <c r="AX35" s="52">
        <f t="shared" si="7"/>
        <v>73862866.699222654</v>
      </c>
      <c r="AY35" s="52">
        <f t="shared" si="7"/>
        <v>73862866.699222654</v>
      </c>
      <c r="AZ35" s="52">
        <f t="shared" si="7"/>
        <v>73862866.699222654</v>
      </c>
      <c r="BA35" s="52">
        <f t="shared" si="7"/>
        <v>73862866.699222654</v>
      </c>
    </row>
    <row r="36" spans="2:53" ht="15.75" thickBot="1">
      <c r="B36" s="169" t="s">
        <v>88</v>
      </c>
      <c r="C36" s="171">
        <f>NPV(4%,D35:BA35)</f>
        <v>1257911379.3446405</v>
      </c>
    </row>
    <row r="37" spans="2:53">
      <c r="B37" s="204" t="s">
        <v>89</v>
      </c>
      <c r="C37" s="205"/>
      <c r="D37" s="55">
        <f t="shared" ref="D37:AI37" si="8">D35-D20</f>
        <v>-13776500</v>
      </c>
      <c r="E37" s="55">
        <f t="shared" si="8"/>
        <v>-37810500</v>
      </c>
      <c r="F37" s="55">
        <f t="shared" si="8"/>
        <v>-14373500</v>
      </c>
      <c r="G37" s="55">
        <f t="shared" si="8"/>
        <v>-7086000</v>
      </c>
      <c r="H37" s="55">
        <f t="shared" si="8"/>
        <v>-5014000</v>
      </c>
      <c r="I37" s="55">
        <f t="shared" si="8"/>
        <v>71253866.699222654</v>
      </c>
      <c r="J37" s="55">
        <f t="shared" si="8"/>
        <v>71253866.699222654</v>
      </c>
      <c r="K37" s="55">
        <f t="shared" si="8"/>
        <v>71253866.699222654</v>
      </c>
      <c r="L37" s="55">
        <f t="shared" si="8"/>
        <v>71253866.699222654</v>
      </c>
      <c r="M37" s="55">
        <f t="shared" si="8"/>
        <v>71253866.699222654</v>
      </c>
      <c r="N37" s="55">
        <f t="shared" si="8"/>
        <v>71253866.699222654</v>
      </c>
      <c r="O37" s="55">
        <f t="shared" si="8"/>
        <v>71253866.699222654</v>
      </c>
      <c r="P37" s="55">
        <f t="shared" si="8"/>
        <v>71253866.699222654</v>
      </c>
      <c r="Q37" s="55">
        <f t="shared" si="8"/>
        <v>71253866.699222654</v>
      </c>
      <c r="R37" s="55">
        <f t="shared" si="8"/>
        <v>71253866.699222654</v>
      </c>
      <c r="S37" s="55">
        <f t="shared" si="8"/>
        <v>71253866.699222654</v>
      </c>
      <c r="T37" s="55">
        <f t="shared" si="8"/>
        <v>71253866.699222654</v>
      </c>
      <c r="U37" s="55">
        <f t="shared" si="8"/>
        <v>71253866.699222654</v>
      </c>
      <c r="V37" s="55">
        <f t="shared" si="8"/>
        <v>71253866.699222654</v>
      </c>
      <c r="W37" s="55">
        <f t="shared" si="8"/>
        <v>71253866.699222654</v>
      </c>
      <c r="X37" s="55">
        <f t="shared" si="8"/>
        <v>71253866.699222654</v>
      </c>
      <c r="Y37" s="55">
        <f t="shared" si="8"/>
        <v>71253866.699222654</v>
      </c>
      <c r="Z37" s="55">
        <f t="shared" si="8"/>
        <v>71253866.699222654</v>
      </c>
      <c r="AA37" s="55">
        <f t="shared" si="8"/>
        <v>71253866.699222654</v>
      </c>
      <c r="AB37" s="55">
        <f t="shared" si="8"/>
        <v>71253866.699222654</v>
      </c>
      <c r="AC37" s="55">
        <f t="shared" si="8"/>
        <v>71253866.699222654</v>
      </c>
      <c r="AD37" s="55">
        <f t="shared" si="8"/>
        <v>71253866.699222654</v>
      </c>
      <c r="AE37" s="55">
        <f t="shared" si="8"/>
        <v>71253866.699222654</v>
      </c>
      <c r="AF37" s="55">
        <f t="shared" si="8"/>
        <v>71253866.699222654</v>
      </c>
      <c r="AG37" s="55">
        <f t="shared" si="8"/>
        <v>71253866.699222654</v>
      </c>
      <c r="AH37" s="55">
        <f t="shared" si="8"/>
        <v>71253866.699222654</v>
      </c>
      <c r="AI37" s="55">
        <f t="shared" si="8"/>
        <v>71253866.699222654</v>
      </c>
      <c r="AJ37" s="55">
        <f t="shared" ref="AJ37:BA37" si="9">AJ35-AJ20</f>
        <v>71253866.699222654</v>
      </c>
      <c r="AK37" s="55">
        <f t="shared" si="9"/>
        <v>71253866.699222654</v>
      </c>
      <c r="AL37" s="55">
        <f t="shared" si="9"/>
        <v>71253866.699222654</v>
      </c>
      <c r="AM37" s="55">
        <f t="shared" si="9"/>
        <v>71253866.699222654</v>
      </c>
      <c r="AN37" s="55">
        <f t="shared" si="9"/>
        <v>71253866.699222654</v>
      </c>
      <c r="AO37" s="55">
        <f t="shared" si="9"/>
        <v>71253866.699222654</v>
      </c>
      <c r="AP37" s="55">
        <f t="shared" si="9"/>
        <v>71253866.699222654</v>
      </c>
      <c r="AQ37" s="55">
        <f t="shared" si="9"/>
        <v>71253866.699222654</v>
      </c>
      <c r="AR37" s="55">
        <f t="shared" si="9"/>
        <v>71253866.699222654</v>
      </c>
      <c r="AS37" s="55">
        <f t="shared" si="9"/>
        <v>71253866.699222654</v>
      </c>
      <c r="AT37" s="55">
        <f t="shared" si="9"/>
        <v>71253866.699222654</v>
      </c>
      <c r="AU37" s="55">
        <f t="shared" si="9"/>
        <v>71253866.699222654</v>
      </c>
      <c r="AV37" s="55">
        <f t="shared" si="9"/>
        <v>71253866.699222654</v>
      </c>
      <c r="AW37" s="55">
        <f t="shared" si="9"/>
        <v>71253866.699222654</v>
      </c>
      <c r="AX37" s="55">
        <f t="shared" si="9"/>
        <v>71253866.699222654</v>
      </c>
      <c r="AY37" s="55">
        <f t="shared" si="9"/>
        <v>71253866.699222654</v>
      </c>
      <c r="AZ37" s="55">
        <f t="shared" si="9"/>
        <v>71253866.699222654</v>
      </c>
      <c r="BA37" s="55">
        <f t="shared" si="9"/>
        <v>71253866.699222654</v>
      </c>
    </row>
    <row r="38" spans="2:53" ht="15.75" thickBot="1">
      <c r="D38" s="46">
        <v>-13776500</v>
      </c>
      <c r="E38" s="46">
        <v>-37810500</v>
      </c>
      <c r="F38" s="46">
        <v>-14373500</v>
      </c>
      <c r="G38" s="46">
        <v>-7086000</v>
      </c>
      <c r="H38" s="46">
        <v>-5014000</v>
      </c>
      <c r="I38" s="46">
        <v>71253866.699222654</v>
      </c>
      <c r="J38" s="46">
        <v>71253866.699222654</v>
      </c>
      <c r="K38" s="46">
        <v>71253866.699222654</v>
      </c>
      <c r="L38" s="46">
        <v>71253866.699222654</v>
      </c>
      <c r="M38" s="46">
        <v>71253866.699222654</v>
      </c>
      <c r="N38" s="46">
        <v>71253866.699222654</v>
      </c>
      <c r="O38" s="46">
        <v>71253866.699222654</v>
      </c>
      <c r="P38" s="46">
        <v>71253866.699222654</v>
      </c>
      <c r="Q38" s="46">
        <v>71253866.699222654</v>
      </c>
      <c r="R38" s="46">
        <v>71253866.699222654</v>
      </c>
      <c r="S38" s="46">
        <v>71253866.699222654</v>
      </c>
      <c r="T38" s="46">
        <v>71253866.699222654</v>
      </c>
      <c r="U38" s="46">
        <v>71253866.699222654</v>
      </c>
      <c r="V38" s="46">
        <v>71253866.699222654</v>
      </c>
      <c r="W38" s="46">
        <v>71253866.699222654</v>
      </c>
      <c r="X38" s="46">
        <v>71253866.699222654</v>
      </c>
      <c r="Y38" s="46">
        <v>71253866.699222654</v>
      </c>
      <c r="Z38" s="46">
        <v>71253866.699222654</v>
      </c>
      <c r="AA38" s="46">
        <v>71253866.699222654</v>
      </c>
      <c r="AB38" s="46">
        <v>71253866.699222654</v>
      </c>
      <c r="AC38" s="46">
        <v>71253866.699222654</v>
      </c>
      <c r="AD38" s="46">
        <v>71253866.699222654</v>
      </c>
      <c r="AE38" s="46">
        <v>71253866.699222654</v>
      </c>
      <c r="AF38" s="46">
        <v>71253866.699222654</v>
      </c>
      <c r="AG38" s="46">
        <v>71253866.699222654</v>
      </c>
      <c r="AH38" s="46">
        <v>71253866.699222654</v>
      </c>
      <c r="AI38" s="46">
        <v>71253866.699222654</v>
      </c>
      <c r="AJ38" s="46">
        <v>71253866.699222654</v>
      </c>
      <c r="AK38" s="46">
        <v>71253866.699222654</v>
      </c>
      <c r="AL38" s="46">
        <v>71253866.699222654</v>
      </c>
      <c r="AM38" s="46">
        <v>71253866.699222654</v>
      </c>
      <c r="AN38" s="46">
        <v>71253866.699222654</v>
      </c>
      <c r="AO38" s="46">
        <v>71253866.699222654</v>
      </c>
      <c r="AP38" s="46">
        <v>71253866.699222654</v>
      </c>
      <c r="AQ38" s="46">
        <v>71253866.699222654</v>
      </c>
      <c r="AR38" s="46">
        <v>71253866.699222654</v>
      </c>
      <c r="AS38" s="46">
        <v>71253866.699222654</v>
      </c>
      <c r="AT38" s="46">
        <v>71253866.699222654</v>
      </c>
      <c r="AU38" s="46">
        <v>71253866.699222654</v>
      </c>
      <c r="AV38" s="46">
        <v>71253866.699222654</v>
      </c>
      <c r="AW38" s="46">
        <v>71253866.699222654</v>
      </c>
      <c r="AX38" s="46">
        <v>71253866.699222654</v>
      </c>
      <c r="AY38" s="46">
        <v>71253866.699222654</v>
      </c>
      <c r="AZ38" s="46">
        <v>71253866.699222654</v>
      </c>
      <c r="BA38" s="46">
        <v>71253866.699222654</v>
      </c>
    </row>
    <row r="39" spans="2:53" ht="30">
      <c r="B39" s="115" t="s">
        <v>19</v>
      </c>
      <c r="C39" s="116" t="s">
        <v>67</v>
      </c>
      <c r="D39" s="116" t="s">
        <v>68</v>
      </c>
      <c r="E39" s="116" t="s">
        <v>63</v>
      </c>
      <c r="F39" s="116" t="s">
        <v>66</v>
      </c>
      <c r="G39" s="125" t="s">
        <v>71</v>
      </c>
    </row>
    <row r="40" spans="2:53">
      <c r="B40" s="126">
        <v>0.04</v>
      </c>
      <c r="C40" s="127">
        <f>NPV(B40,$D$20:$BA$20)</f>
        <v>115593056.68324479</v>
      </c>
      <c r="D40" s="127">
        <f>NPV(B40,$D$35:$BA$35)</f>
        <v>1257911379.3446405</v>
      </c>
      <c r="E40" s="128">
        <f>D40/C40</f>
        <v>10.882239949685271</v>
      </c>
      <c r="F40" s="127">
        <f>(D40-C40)/1000000</f>
        <v>1142.3183226613958</v>
      </c>
      <c r="G40" s="129">
        <f>IRR($D$37:$BA$37,B40)</f>
        <v>0.3755952634119939</v>
      </c>
    </row>
    <row r="41" spans="2:53">
      <c r="B41" s="126">
        <v>0.06</v>
      </c>
      <c r="C41" s="127">
        <f t="shared" ref="C41:C43" si="10">NPV(B41,$D$20:$BA$20)</f>
        <v>98208341.733282357</v>
      </c>
      <c r="D41" s="127">
        <f t="shared" ref="D41:D43" si="11">NPV(B41,$D$35:$BA$35)</f>
        <v>853078946.33541322</v>
      </c>
      <c r="E41" s="128">
        <f t="shared" ref="E41:E43" si="12">D41/C41</f>
        <v>8.6864204331260861</v>
      </c>
      <c r="F41" s="127">
        <f t="shared" ref="F41:F43" si="13">(D41-C41)/1000000</f>
        <v>754.87060460213092</v>
      </c>
      <c r="G41" s="129">
        <f t="shared" ref="G41:G43" si="14">IRR($D$37:$BA$37,B41)</f>
        <v>0.37559526341199434</v>
      </c>
    </row>
    <row r="42" spans="2:53">
      <c r="B42" s="126">
        <v>0.08</v>
      </c>
      <c r="C42" s="127">
        <f t="shared" si="10"/>
        <v>86703622.333693564</v>
      </c>
      <c r="D42" s="127">
        <f t="shared" si="11"/>
        <v>608687236.22002053</v>
      </c>
      <c r="E42" s="128">
        <f t="shared" si="12"/>
        <v>7.0203207182900007</v>
      </c>
      <c r="F42" s="127">
        <f t="shared" si="13"/>
        <v>521.98361388632702</v>
      </c>
      <c r="G42" s="129">
        <f t="shared" si="14"/>
        <v>0.37559526341199434</v>
      </c>
    </row>
    <row r="43" spans="2:53" ht="15.75" thickBot="1">
      <c r="B43" s="130">
        <v>0.1</v>
      </c>
      <c r="C43" s="131">
        <f t="shared" si="10"/>
        <v>78502182.481554389</v>
      </c>
      <c r="D43" s="131">
        <f t="shared" si="11"/>
        <v>452338242.9819504</v>
      </c>
      <c r="E43" s="132">
        <f t="shared" si="12"/>
        <v>5.7621104112390258</v>
      </c>
      <c r="F43" s="131">
        <f t="shared" si="13"/>
        <v>373.836060500396</v>
      </c>
      <c r="G43" s="133">
        <f t="shared" si="14"/>
        <v>0.37559526341199412</v>
      </c>
    </row>
    <row r="44" spans="2:53" ht="15.75" thickBot="1"/>
    <row r="45" spans="2:53" ht="30.75" thickBot="1">
      <c r="B45" s="115" t="s">
        <v>24</v>
      </c>
      <c r="C45" s="116" t="s">
        <v>62</v>
      </c>
      <c r="D45" s="222" t="s">
        <v>72</v>
      </c>
      <c r="E45" s="223"/>
      <c r="F45" s="223"/>
      <c r="G45" s="224"/>
    </row>
    <row r="46" spans="2:53">
      <c r="D46" s="117">
        <v>-0.3</v>
      </c>
      <c r="E46" s="117">
        <v>-0.15</v>
      </c>
      <c r="F46" s="117">
        <v>0.15</v>
      </c>
      <c r="G46" s="118">
        <v>0.3</v>
      </c>
    </row>
    <row r="47" spans="2:53">
      <c r="B47" s="119">
        <v>0.04</v>
      </c>
      <c r="C47" s="120">
        <f>NPV(B47,$D$37:$BA$37)/1000000</f>
        <v>1142.3183226613958</v>
      </c>
      <c r="D47" s="120">
        <v>810.19987841280886</v>
      </c>
      <c r="E47" s="120">
        <v>998.88658531450494</v>
      </c>
      <c r="F47" s="120">
        <v>1376.2599991178965</v>
      </c>
      <c r="G47" s="121">
        <v>1564.9467060195936</v>
      </c>
    </row>
    <row r="48" spans="2:53">
      <c r="B48" s="119">
        <v>0.06</v>
      </c>
      <c r="C48" s="120">
        <f>NPV(B48,$D$37:$BA$37)/1000000</f>
        <v>754.87060460213092</v>
      </c>
      <c r="D48" s="120">
        <v>529.84319664872896</v>
      </c>
      <c r="E48" s="120">
        <v>657.80503859904081</v>
      </c>
      <c r="F48" s="120">
        <v>913.72872249966451</v>
      </c>
      <c r="G48" s="121">
        <v>1041.6905644499768</v>
      </c>
    </row>
    <row r="49" spans="2:7">
      <c r="B49" s="119">
        <v>0.08</v>
      </c>
      <c r="C49" s="120">
        <f>NPV(B49,$D$37:$BA$37)/1000000</f>
        <v>521.98361388632702</v>
      </c>
      <c r="D49" s="120">
        <v>361.58759178360583</v>
      </c>
      <c r="E49" s="120">
        <v>452.89067721660876</v>
      </c>
      <c r="F49" s="120">
        <v>635.49684808261497</v>
      </c>
      <c r="G49" s="121">
        <v>726.79993351561848</v>
      </c>
    </row>
    <row r="50" spans="2:7" ht="15.75" thickBot="1">
      <c r="B50" s="122">
        <v>0.1</v>
      </c>
      <c r="C50" s="123">
        <f>NPV(B50,$D$37:$BA$37)/1000000</f>
        <v>373.836060500396</v>
      </c>
      <c r="D50" s="123">
        <v>254.77331642361901</v>
      </c>
      <c r="E50" s="123">
        <v>322.6240528709115</v>
      </c>
      <c r="F50" s="123">
        <v>458.32552576549648</v>
      </c>
      <c r="G50" s="124">
        <v>526.1762622127892</v>
      </c>
    </row>
  </sheetData>
  <mergeCells count="2">
    <mergeCell ref="D45:G45"/>
    <mergeCell ref="B37:C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Présentation</vt:lpstr>
      <vt:lpstr>Résumé</vt:lpstr>
      <vt:lpstr>1-ACB</vt:lpstr>
      <vt:lpstr>2-Bénéfices SAP</vt:lpstr>
      <vt:lpstr>3-Benefices Agric</vt:lpstr>
      <vt:lpstr>4-ACB-sensibilite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Le Gallo</dc:creator>
  <cp:lastModifiedBy>fhamade</cp:lastModifiedBy>
  <cp:lastPrinted>2019-09-05T07:34:34Z</cp:lastPrinted>
  <dcterms:created xsi:type="dcterms:W3CDTF">2019-06-11T09:41:48Z</dcterms:created>
  <dcterms:modified xsi:type="dcterms:W3CDTF">2019-12-19T22:38:43Z</dcterms:modified>
</cp:coreProperties>
</file>