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1"/>
  <workbookPr filterPrivacy="1"/>
  <xr:revisionPtr revIDLastSave="0" documentId="13_ncr:1_{3016879B-1114-BE44-87EB-4E01C4CD9F57}" xr6:coauthVersionLast="36" xr6:coauthVersionMax="45" xr10:uidLastSave="{00000000-0000-0000-0000-000000000000}"/>
  <bookViews>
    <workbookView xWindow="1880" yWindow="1240" windowWidth="25820" windowHeight="15480" activeTab="2" xr2:uid="{00000000-000D-0000-FFFF-FFFF00000000}"/>
  </bookViews>
  <sheets>
    <sheet name="Calcul Eco " sheetId="26" r:id="rId1"/>
    <sheet name="Résumé FS2" sheetId="32" r:id="rId2"/>
    <sheet name="PMC" sheetId="33" r:id="rId3"/>
    <sheet name="COM Act" sheetId="18" r:id="rId4"/>
    <sheet name="MAD Act" sheetId="28" r:id="rId5"/>
    <sheet name="SEY Act" sheetId="22" r:id="rId6"/>
    <sheet name="MAU Act" sheetId="25" r:id="rId7"/>
    <sheet name="REGIONAL" sheetId="29" r:id="rId8"/>
    <sheet name="Renouv COM" sheetId="27" r:id="rId9"/>
  </sheets>
  <definedNames>
    <definedName name="actualisation">'Calcul Eco '!$H$2</definedName>
    <definedName name="inflation">'Calcul Eco '!$H$1</definedName>
    <definedName name="_xlnm.Print_Area" localSheetId="3">'COM Act'!$C$17:$T$82</definedName>
  </definedNames>
  <calcPr calcId="181029"/>
</workbook>
</file>

<file path=xl/calcChain.xml><?xml version="1.0" encoding="utf-8"?>
<calcChain xmlns="http://schemas.openxmlformats.org/spreadsheetml/2006/main">
  <c r="K22" i="33" l="1"/>
  <c r="J22" i="33"/>
  <c r="I22" i="33"/>
  <c r="H22" i="33"/>
  <c r="G22" i="33"/>
  <c r="L22" i="33" s="1"/>
  <c r="L20" i="33"/>
  <c r="F20" i="33"/>
  <c r="L19" i="33"/>
  <c r="F19" i="33"/>
  <c r="L17" i="33"/>
  <c r="F17" i="33"/>
  <c r="L16" i="33"/>
  <c r="F16" i="33"/>
  <c r="L15" i="33"/>
  <c r="F15" i="33"/>
  <c r="L13" i="33"/>
  <c r="F13" i="33"/>
  <c r="L12" i="33"/>
  <c r="F12" i="33"/>
  <c r="L11" i="33"/>
  <c r="F11" i="33"/>
  <c r="L10" i="33"/>
  <c r="F10" i="33"/>
  <c r="L9" i="33"/>
  <c r="F9" i="33"/>
  <c r="L8" i="33"/>
  <c r="F8" i="33"/>
  <c r="L7" i="33"/>
  <c r="F7" i="33"/>
  <c r="L6" i="33"/>
  <c r="F6" i="33"/>
  <c r="L5" i="33"/>
  <c r="F5" i="33"/>
  <c r="L4" i="33"/>
  <c r="F4" i="33"/>
  <c r="L3" i="33"/>
  <c r="F3" i="33"/>
  <c r="F22" i="33" s="1"/>
  <c r="N2" i="32" l="1"/>
  <c r="N3" i="32"/>
  <c r="N4" i="32"/>
  <c r="N5" i="32"/>
  <c r="N6" i="32"/>
  <c r="N7" i="32"/>
  <c r="N8" i="32"/>
  <c r="N9" i="32"/>
  <c r="N10" i="32"/>
  <c r="N11" i="32"/>
  <c r="N12" i="32"/>
  <c r="N13" i="32"/>
  <c r="N14" i="32"/>
  <c r="N15" i="32"/>
  <c r="N16" i="32"/>
  <c r="N17" i="32"/>
  <c r="N18" i="32"/>
  <c r="N19" i="32"/>
  <c r="N20" i="32"/>
  <c r="N21" i="32"/>
  <c r="N22" i="32"/>
  <c r="N23" i="32"/>
  <c r="N24" i="32"/>
  <c r="N25" i="32"/>
  <c r="N26" i="32"/>
  <c r="N27" i="32"/>
  <c r="N28" i="32"/>
  <c r="N29" i="32"/>
  <c r="N30" i="32"/>
  <c r="N31" i="32"/>
  <c r="L22" i="32"/>
  <c r="L23" i="32"/>
  <c r="L24" i="32"/>
  <c r="L25" i="32"/>
  <c r="L26" i="32"/>
  <c r="L27" i="32"/>
  <c r="M22" i="32"/>
  <c r="L3" i="32"/>
  <c r="L4" i="32"/>
  <c r="L5" i="32"/>
  <c r="L6" i="32"/>
  <c r="L7" i="32"/>
  <c r="L8" i="32"/>
  <c r="L9" i="32"/>
  <c r="L10" i="32"/>
  <c r="L11" i="32"/>
  <c r="L12" i="32"/>
  <c r="L13" i="32"/>
  <c r="L14" i="32"/>
  <c r="L15" i="32"/>
  <c r="L16" i="32"/>
  <c r="L17" i="32"/>
  <c r="L18" i="32"/>
  <c r="L19" i="32"/>
  <c r="L20" i="32"/>
  <c r="L21" i="32"/>
  <c r="L28" i="32"/>
  <c r="L29" i="32"/>
  <c r="L31" i="32"/>
  <c r="L2" i="32"/>
  <c r="M25" i="32"/>
  <c r="M32" i="32"/>
  <c r="M23" i="32"/>
  <c r="M24" i="32"/>
  <c r="M26" i="32"/>
  <c r="M27" i="32"/>
  <c r="H28" i="32"/>
  <c r="N32" i="32" l="1"/>
  <c r="L32" i="32"/>
  <c r="P4" i="22" l="1"/>
  <c r="Q4" i="22"/>
  <c r="R4" i="22"/>
  <c r="S4" i="22"/>
  <c r="O4" i="22"/>
  <c r="P6" i="28"/>
  <c r="Q6" i="28"/>
  <c r="R6" i="28"/>
  <c r="S6" i="28"/>
  <c r="O6" i="28"/>
  <c r="P5" i="18"/>
  <c r="Q5" i="18"/>
  <c r="R5" i="18"/>
  <c r="S5" i="18"/>
  <c r="P6" i="18"/>
  <c r="Q6" i="18"/>
  <c r="R6" i="18"/>
  <c r="S6" i="18"/>
  <c r="O5" i="18"/>
  <c r="O6" i="18"/>
  <c r="Q86" i="18"/>
  <c r="R86" i="18" s="1"/>
  <c r="S86" i="18" s="1"/>
  <c r="Q87" i="18"/>
  <c r="R87" i="18" s="1"/>
  <c r="S87" i="18" s="1"/>
  <c r="P87" i="18"/>
  <c r="P86" i="18"/>
  <c r="P7" i="28"/>
  <c r="Q7" i="28"/>
  <c r="R7" i="28"/>
  <c r="S7" i="28"/>
  <c r="O7" i="28"/>
  <c r="Q85" i="28"/>
  <c r="R85" i="28" s="1"/>
  <c r="S85" i="28" s="1"/>
  <c r="Q86" i="28"/>
  <c r="R86" i="28" s="1"/>
  <c r="S86" i="28" s="1"/>
  <c r="P86" i="28"/>
  <c r="P85" i="28"/>
  <c r="P5" i="22"/>
  <c r="Q5" i="22"/>
  <c r="R5" i="22"/>
  <c r="S5" i="22"/>
  <c r="O5" i="22"/>
  <c r="Q84" i="22"/>
  <c r="R84" i="22" s="1"/>
  <c r="S84" i="22" s="1"/>
  <c r="Q85" i="22"/>
  <c r="R85" i="22" s="1"/>
  <c r="S85" i="22" s="1"/>
  <c r="P85" i="22"/>
  <c r="P84" i="22"/>
  <c r="P5" i="25"/>
  <c r="Q5" i="25"/>
  <c r="R5" i="25"/>
  <c r="S5" i="25"/>
  <c r="O5" i="25"/>
  <c r="P4" i="25"/>
  <c r="Q4" i="25"/>
  <c r="R4" i="25"/>
  <c r="S4" i="25"/>
  <c r="O4" i="25"/>
  <c r="Q83" i="25"/>
  <c r="R83" i="25" s="1"/>
  <c r="S83" i="25" s="1"/>
  <c r="Q84" i="25"/>
  <c r="R84" i="25" s="1"/>
  <c r="S84" i="25" s="1"/>
  <c r="P84" i="25"/>
  <c r="P83" i="25"/>
  <c r="M6" i="29"/>
  <c r="M7" i="29"/>
  <c r="M8" i="29"/>
  <c r="M9" i="29"/>
  <c r="M10" i="29"/>
  <c r="M11" i="29"/>
  <c r="M12" i="29"/>
  <c r="M13" i="29"/>
  <c r="M14" i="29"/>
  <c r="M15" i="29"/>
  <c r="M16" i="29"/>
  <c r="M17" i="29"/>
  <c r="M18" i="29"/>
  <c r="M19" i="29"/>
  <c r="M20" i="29"/>
  <c r="M5" i="29"/>
  <c r="O6" i="29"/>
  <c r="P6" i="29"/>
  <c r="Q6" i="29"/>
  <c r="R6" i="29"/>
  <c r="S6" i="29"/>
  <c r="U6" i="29"/>
  <c r="V6" i="29"/>
  <c r="X6" i="29"/>
  <c r="O7" i="29"/>
  <c r="P7" i="29"/>
  <c r="Q7" i="29"/>
  <c r="T7" i="29" s="1"/>
  <c r="W7" i="29" s="1"/>
  <c r="R7" i="29"/>
  <c r="S7" i="29"/>
  <c r="U7" i="29"/>
  <c r="V7" i="29"/>
  <c r="X7" i="29"/>
  <c r="O8" i="29"/>
  <c r="P8" i="29"/>
  <c r="Q8" i="29"/>
  <c r="R8" i="29"/>
  <c r="S8" i="29"/>
  <c r="U8" i="29"/>
  <c r="V8" i="29"/>
  <c r="X8" i="29"/>
  <c r="O9" i="29"/>
  <c r="P9" i="29"/>
  <c r="Q9" i="29"/>
  <c r="R9" i="29"/>
  <c r="S9" i="29"/>
  <c r="U9" i="29"/>
  <c r="V9" i="29"/>
  <c r="X9" i="29"/>
  <c r="O10" i="29"/>
  <c r="P10" i="29"/>
  <c r="Q10" i="29"/>
  <c r="R10" i="29"/>
  <c r="S10" i="29"/>
  <c r="U10" i="29"/>
  <c r="V10" i="29"/>
  <c r="X10" i="29"/>
  <c r="O11" i="29"/>
  <c r="P11" i="29"/>
  <c r="Q11" i="29"/>
  <c r="T11" i="29" s="1"/>
  <c r="W11" i="29" s="1"/>
  <c r="R11" i="29"/>
  <c r="S11" i="29"/>
  <c r="U11" i="29"/>
  <c r="V11" i="29"/>
  <c r="X11" i="29"/>
  <c r="O12" i="29"/>
  <c r="P12" i="29"/>
  <c r="Q12" i="29"/>
  <c r="R12" i="29"/>
  <c r="S12" i="29"/>
  <c r="U12" i="29"/>
  <c r="V12" i="29"/>
  <c r="X12" i="29"/>
  <c r="O13" i="29"/>
  <c r="P13" i="29"/>
  <c r="Q13" i="29"/>
  <c r="R13" i="29"/>
  <c r="S13" i="29"/>
  <c r="U13" i="29"/>
  <c r="V13" i="29"/>
  <c r="X13" i="29"/>
  <c r="O14" i="29"/>
  <c r="P14" i="29"/>
  <c r="Q14" i="29"/>
  <c r="R14" i="29"/>
  <c r="S14" i="29"/>
  <c r="U14" i="29"/>
  <c r="V14" i="29"/>
  <c r="X14" i="29"/>
  <c r="O15" i="29"/>
  <c r="P15" i="29"/>
  <c r="Q15" i="29"/>
  <c r="T15" i="29" s="1"/>
  <c r="W15" i="29" s="1"/>
  <c r="R15" i="29"/>
  <c r="S15" i="29"/>
  <c r="U15" i="29"/>
  <c r="V15" i="29"/>
  <c r="X15" i="29"/>
  <c r="O16" i="29"/>
  <c r="P16" i="29"/>
  <c r="Q16" i="29"/>
  <c r="R16" i="29"/>
  <c r="S16" i="29"/>
  <c r="U16" i="29"/>
  <c r="V16" i="29"/>
  <c r="X16" i="29"/>
  <c r="O17" i="29"/>
  <c r="P17" i="29"/>
  <c r="Q17" i="29"/>
  <c r="T17" i="29" s="1"/>
  <c r="W17" i="29" s="1"/>
  <c r="R17" i="29"/>
  <c r="S17" i="29"/>
  <c r="U17" i="29"/>
  <c r="V17" i="29"/>
  <c r="X17" i="29"/>
  <c r="O18" i="29"/>
  <c r="P18" i="29"/>
  <c r="Q18" i="29"/>
  <c r="R18" i="29"/>
  <c r="S18" i="29"/>
  <c r="U18" i="29"/>
  <c r="V18" i="29"/>
  <c r="X18" i="29"/>
  <c r="O19" i="29"/>
  <c r="P19" i="29"/>
  <c r="Q19" i="29"/>
  <c r="T19" i="29" s="1"/>
  <c r="W19" i="29" s="1"/>
  <c r="R19" i="29"/>
  <c r="S19" i="29"/>
  <c r="U19" i="29"/>
  <c r="V19" i="29"/>
  <c r="X19" i="29"/>
  <c r="O20" i="29"/>
  <c r="P20" i="29"/>
  <c r="Q20" i="29"/>
  <c r="R20" i="29"/>
  <c r="S20" i="29"/>
  <c r="U20" i="29"/>
  <c r="V20" i="29"/>
  <c r="X20" i="29"/>
  <c r="X5" i="29"/>
  <c r="V5" i="29"/>
  <c r="U5" i="29"/>
  <c r="S5" i="29"/>
  <c r="R5" i="29"/>
  <c r="Q5" i="29"/>
  <c r="P5" i="29"/>
  <c r="O5" i="29"/>
  <c r="T16" i="29" l="1"/>
  <c r="W16" i="29" s="1"/>
  <c r="T9" i="29"/>
  <c r="W9" i="29" s="1"/>
  <c r="T5" i="29"/>
  <c r="W5" i="29" s="1"/>
  <c r="T10" i="29"/>
  <c r="W10" i="29" s="1"/>
  <c r="T20" i="29"/>
  <c r="W20" i="29" s="1"/>
  <c r="T18" i="29"/>
  <c r="W18" i="29" s="1"/>
  <c r="T14" i="29"/>
  <c r="W14" i="29" s="1"/>
  <c r="T13" i="29"/>
  <c r="W13" i="29" s="1"/>
  <c r="T12" i="29"/>
  <c r="W12" i="29" s="1"/>
  <c r="T8" i="29"/>
  <c r="W8" i="29" s="1"/>
  <c r="T6" i="29"/>
  <c r="W6" i="29" s="1"/>
  <c r="J30" i="32" s="1"/>
  <c r="X29" i="28" l="1"/>
  <c r="V29" i="28"/>
  <c r="U29" i="28"/>
  <c r="S29" i="28"/>
  <c r="R29" i="28"/>
  <c r="Q29" i="28"/>
  <c r="P29" i="28"/>
  <c r="O29" i="28"/>
  <c r="M29" i="28"/>
  <c r="T29" i="28" l="1"/>
  <c r="W29" i="28" s="1"/>
  <c r="X10" i="25"/>
  <c r="V10" i="25"/>
  <c r="U10" i="25"/>
  <c r="S10" i="25"/>
  <c r="R10" i="25"/>
  <c r="Q10" i="25"/>
  <c r="P10" i="25"/>
  <c r="O10" i="25"/>
  <c r="T10" i="25" s="1"/>
  <c r="W10" i="25" s="1"/>
  <c r="M10" i="25"/>
  <c r="S10" i="22"/>
  <c r="R10" i="22"/>
  <c r="Q10" i="22"/>
  <c r="P10" i="22"/>
  <c r="O10" i="22"/>
  <c r="T10" i="22" s="1"/>
  <c r="W10" i="22" s="1"/>
  <c r="M10" i="22"/>
  <c r="X12" i="28"/>
  <c r="V12" i="28"/>
  <c r="U12" i="28"/>
  <c r="S12" i="28"/>
  <c r="R12" i="28"/>
  <c r="Q12" i="28"/>
  <c r="P12" i="28"/>
  <c r="O12" i="28"/>
  <c r="T12" i="28" s="1"/>
  <c r="W12" i="28" s="1"/>
  <c r="M12" i="28"/>
  <c r="X11" i="18"/>
  <c r="V11" i="18"/>
  <c r="U11" i="18"/>
  <c r="S11" i="18"/>
  <c r="R11" i="18"/>
  <c r="Q11" i="18"/>
  <c r="P11" i="18"/>
  <c r="O11" i="18"/>
  <c r="T11" i="18" s="1"/>
  <c r="W11" i="18" s="1"/>
  <c r="J8" i="32" s="1"/>
  <c r="M11" i="18"/>
  <c r="O4" i="29"/>
  <c r="G32" i="32"/>
  <c r="F32" i="32"/>
  <c r="E32" i="32"/>
  <c r="D32" i="32"/>
  <c r="M4" i="29" l="1"/>
  <c r="P4" i="29"/>
  <c r="Q4" i="29"/>
  <c r="R4" i="29"/>
  <c r="S4" i="29"/>
  <c r="U4" i="18"/>
  <c r="U42" i="28"/>
  <c r="V42" i="28"/>
  <c r="X42" i="28"/>
  <c r="U43" i="28"/>
  <c r="V43" i="28"/>
  <c r="X43" i="28"/>
  <c r="U44" i="28"/>
  <c r="V44" i="28"/>
  <c r="X44" i="28"/>
  <c r="U45" i="28"/>
  <c r="V45" i="28"/>
  <c r="X45" i="28"/>
  <c r="U46" i="28"/>
  <c r="V46" i="28"/>
  <c r="W46" i="28"/>
  <c r="X46" i="28"/>
  <c r="U47" i="28"/>
  <c r="V47" i="28"/>
  <c r="X47" i="28"/>
  <c r="U48" i="28"/>
  <c r="W48" i="28"/>
  <c r="X48" i="28"/>
  <c r="U49" i="28"/>
  <c r="V49" i="28"/>
  <c r="W49" i="28"/>
  <c r="X49" i="28"/>
  <c r="U50" i="28"/>
  <c r="W50" i="28"/>
  <c r="X50" i="28"/>
  <c r="U51" i="28"/>
  <c r="V51" i="28"/>
  <c r="X51" i="28"/>
  <c r="U52" i="28"/>
  <c r="V52" i="28"/>
  <c r="X52" i="28"/>
  <c r="U59" i="28"/>
  <c r="V59" i="28"/>
  <c r="X59" i="28"/>
  <c r="U60" i="28"/>
  <c r="V60" i="28"/>
  <c r="W60" i="28"/>
  <c r="X60" i="28"/>
  <c r="V61" i="28"/>
  <c r="X61" i="28"/>
  <c r="U62" i="28"/>
  <c r="V62" i="28"/>
  <c r="X62" i="28"/>
  <c r="U63" i="28"/>
  <c r="W63" i="28"/>
  <c r="X63" i="28"/>
  <c r="U64" i="28"/>
  <c r="W64" i="28"/>
  <c r="X64" i="28"/>
  <c r="U71" i="28"/>
  <c r="V71" i="28"/>
  <c r="X71" i="28"/>
  <c r="U72" i="28"/>
  <c r="V72" i="28"/>
  <c r="X72" i="28"/>
  <c r="U73" i="28"/>
  <c r="V73" i="28"/>
  <c r="X73" i="28"/>
  <c r="U74" i="28"/>
  <c r="V74" i="28"/>
  <c r="X74" i="28"/>
  <c r="U86" i="28"/>
  <c r="V86" i="28"/>
  <c r="W85" i="28"/>
  <c r="V85" i="28"/>
  <c r="U85" i="28"/>
  <c r="X70" i="28"/>
  <c r="V70" i="28"/>
  <c r="U70" i="28"/>
  <c r="X58" i="28"/>
  <c r="V58" i="28"/>
  <c r="U58" i="28"/>
  <c r="X41" i="28"/>
  <c r="V41" i="28"/>
  <c r="U41" i="28"/>
  <c r="X28" i="28"/>
  <c r="U20" i="28"/>
  <c r="V20" i="28"/>
  <c r="W20" i="28"/>
  <c r="X20" i="28"/>
  <c r="U21" i="28"/>
  <c r="V21" i="28"/>
  <c r="X21" i="28"/>
  <c r="U22" i="28"/>
  <c r="V22" i="28"/>
  <c r="X22" i="28"/>
  <c r="U23" i="28"/>
  <c r="V23" i="28"/>
  <c r="X23" i="28"/>
  <c r="U24" i="28"/>
  <c r="V24" i="28"/>
  <c r="X24" i="28"/>
  <c r="U25" i="28"/>
  <c r="V25" i="28"/>
  <c r="X25" i="28"/>
  <c r="U26" i="28"/>
  <c r="V26" i="28"/>
  <c r="X26" i="28"/>
  <c r="U27" i="28"/>
  <c r="V27" i="28"/>
  <c r="X27" i="28"/>
  <c r="U28" i="28"/>
  <c r="V28" i="28"/>
  <c r="U30" i="28"/>
  <c r="V30" i="28"/>
  <c r="X30" i="28"/>
  <c r="U31" i="28"/>
  <c r="V31" i="28"/>
  <c r="W31" i="28"/>
  <c r="X31" i="28"/>
  <c r="U32" i="28"/>
  <c r="V32" i="28"/>
  <c r="X32" i="28"/>
  <c r="U33" i="28"/>
  <c r="V33" i="28"/>
  <c r="X33" i="28"/>
  <c r="U34" i="28"/>
  <c r="V34" i="28"/>
  <c r="X34" i="28"/>
  <c r="V35" i="28"/>
  <c r="W35" i="28"/>
  <c r="X35" i="28"/>
  <c r="X19" i="28"/>
  <c r="W19" i="28"/>
  <c r="V19" i="28"/>
  <c r="U19" i="28"/>
  <c r="U6" i="28"/>
  <c r="V6" i="28"/>
  <c r="X6" i="28"/>
  <c r="U7" i="28"/>
  <c r="V7" i="28"/>
  <c r="X7" i="28"/>
  <c r="U8" i="28"/>
  <c r="V8" i="28"/>
  <c r="X8" i="28"/>
  <c r="U9" i="28"/>
  <c r="V9" i="28"/>
  <c r="X9" i="28"/>
  <c r="U10" i="28"/>
  <c r="V10" i="28"/>
  <c r="X10" i="28"/>
  <c r="U11" i="28"/>
  <c r="V11" i="28"/>
  <c r="X11" i="28"/>
  <c r="U13" i="28"/>
  <c r="V13" i="28"/>
  <c r="X13" i="28"/>
  <c r="U14" i="28"/>
  <c r="V14" i="28"/>
  <c r="X14" i="28"/>
  <c r="U5" i="28"/>
  <c r="V5" i="28"/>
  <c r="X5" i="28"/>
  <c r="V50" i="18" l="1"/>
  <c r="X24" i="29"/>
  <c r="V24" i="29"/>
  <c r="U24" i="29"/>
  <c r="S24" i="29"/>
  <c r="R24" i="29"/>
  <c r="Q24" i="29"/>
  <c r="P24" i="29"/>
  <c r="O24" i="29"/>
  <c r="M24" i="29"/>
  <c r="U21" i="18"/>
  <c r="V21" i="18"/>
  <c r="X21" i="18"/>
  <c r="U22" i="18"/>
  <c r="V22" i="18"/>
  <c r="X22" i="18"/>
  <c r="U23" i="18"/>
  <c r="V23" i="18"/>
  <c r="X23" i="18"/>
  <c r="U24" i="18"/>
  <c r="V24" i="18"/>
  <c r="X24" i="18"/>
  <c r="U25" i="18"/>
  <c r="V25" i="18"/>
  <c r="X25" i="18"/>
  <c r="U26" i="18"/>
  <c r="V26" i="18"/>
  <c r="X26" i="18"/>
  <c r="U27" i="18"/>
  <c r="V27" i="18"/>
  <c r="X27" i="18"/>
  <c r="U28" i="18"/>
  <c r="V28" i="18"/>
  <c r="X28" i="18"/>
  <c r="U58" i="18"/>
  <c r="V58" i="18"/>
  <c r="X58" i="18"/>
  <c r="U59" i="18"/>
  <c r="V59" i="18"/>
  <c r="X59" i="18"/>
  <c r="U60" i="18"/>
  <c r="V60" i="18"/>
  <c r="W60" i="18"/>
  <c r="X60" i="18"/>
  <c r="V61" i="18"/>
  <c r="W61" i="18"/>
  <c r="X61" i="18"/>
  <c r="U62" i="18"/>
  <c r="V62" i="18"/>
  <c r="X62" i="18"/>
  <c r="U22" i="22"/>
  <c r="V22" i="22"/>
  <c r="X22" i="22"/>
  <c r="U23" i="22"/>
  <c r="V23" i="22"/>
  <c r="X23" i="22"/>
  <c r="U24" i="22"/>
  <c r="V24" i="22"/>
  <c r="X24" i="22"/>
  <c r="U25" i="22"/>
  <c r="V25" i="22"/>
  <c r="X25" i="22"/>
  <c r="U26" i="22"/>
  <c r="V26" i="22"/>
  <c r="X26" i="22"/>
  <c r="U27" i="22"/>
  <c r="V27" i="22"/>
  <c r="X27" i="22"/>
  <c r="U28" i="22"/>
  <c r="V28" i="22"/>
  <c r="X28" i="22"/>
  <c r="U29" i="22"/>
  <c r="V29" i="22"/>
  <c r="X29" i="22"/>
  <c r="U22" i="25"/>
  <c r="V22" i="25"/>
  <c r="X22" i="25"/>
  <c r="U23" i="25"/>
  <c r="V23" i="25"/>
  <c r="X23" i="25"/>
  <c r="U24" i="25"/>
  <c r="V24" i="25"/>
  <c r="X24" i="25"/>
  <c r="U25" i="25"/>
  <c r="V25" i="25"/>
  <c r="X25" i="25"/>
  <c r="U26" i="25"/>
  <c r="V26" i="25"/>
  <c r="X26" i="25"/>
  <c r="U27" i="25"/>
  <c r="V27" i="25"/>
  <c r="X27" i="25"/>
  <c r="U28" i="25"/>
  <c r="V28" i="25"/>
  <c r="X28" i="25"/>
  <c r="S59" i="18"/>
  <c r="R59" i="18"/>
  <c r="Q59" i="18"/>
  <c r="P59" i="18"/>
  <c r="O59" i="18"/>
  <c r="M59" i="18"/>
  <c r="X4" i="18"/>
  <c r="X5" i="18"/>
  <c r="X6" i="18"/>
  <c r="X7" i="18"/>
  <c r="X8" i="18"/>
  <c r="X9" i="18"/>
  <c r="X10" i="18"/>
  <c r="X12" i="18"/>
  <c r="X13" i="18"/>
  <c r="V4" i="18"/>
  <c r="U5" i="18"/>
  <c r="V5" i="18"/>
  <c r="U6" i="18"/>
  <c r="V6" i="18"/>
  <c r="U7" i="18"/>
  <c r="V7" i="18"/>
  <c r="U8" i="18"/>
  <c r="V8" i="18"/>
  <c r="U9" i="18"/>
  <c r="V9" i="18"/>
  <c r="U10" i="18"/>
  <c r="V10" i="18"/>
  <c r="U12" i="18"/>
  <c r="V12" i="18"/>
  <c r="U13" i="18"/>
  <c r="V13" i="18"/>
  <c r="S10" i="18"/>
  <c r="R10" i="18"/>
  <c r="Q10" i="18"/>
  <c r="P10" i="18"/>
  <c r="O10" i="18"/>
  <c r="M10" i="18"/>
  <c r="S9" i="18"/>
  <c r="R9" i="18"/>
  <c r="Q9" i="18"/>
  <c r="P9" i="18"/>
  <c r="O9" i="18"/>
  <c r="M9" i="18"/>
  <c r="S8" i="18"/>
  <c r="R8" i="18"/>
  <c r="Q8" i="18"/>
  <c r="P8" i="18"/>
  <c r="O8" i="18"/>
  <c r="M8" i="18"/>
  <c r="S7" i="18"/>
  <c r="R7" i="18"/>
  <c r="Q7" i="18"/>
  <c r="P7" i="18"/>
  <c r="O7" i="18"/>
  <c r="M7" i="18"/>
  <c r="S4" i="18"/>
  <c r="R4" i="18"/>
  <c r="Q4" i="18"/>
  <c r="P4" i="18"/>
  <c r="O4" i="18"/>
  <c r="M4" i="18"/>
  <c r="X66" i="28"/>
  <c r="S58" i="28"/>
  <c r="R58" i="28"/>
  <c r="Q58" i="28"/>
  <c r="P58" i="28"/>
  <c r="O58" i="28"/>
  <c r="M58" i="28"/>
  <c r="S11" i="28"/>
  <c r="R11" i="28"/>
  <c r="Q11" i="28"/>
  <c r="P11" i="28"/>
  <c r="O11" i="28"/>
  <c r="M11" i="28"/>
  <c r="S10" i="28"/>
  <c r="R10" i="28"/>
  <c r="Q10" i="28"/>
  <c r="P10" i="28"/>
  <c r="O10" i="28"/>
  <c r="M10" i="28"/>
  <c r="S9" i="28"/>
  <c r="R9" i="28"/>
  <c r="Q9" i="28"/>
  <c r="P9" i="28"/>
  <c r="O9" i="28"/>
  <c r="M9" i="28"/>
  <c r="S8" i="28"/>
  <c r="R8" i="28"/>
  <c r="Q8" i="28"/>
  <c r="P8" i="28"/>
  <c r="O8" i="28"/>
  <c r="M8" i="28"/>
  <c r="S5" i="28"/>
  <c r="R5" i="28"/>
  <c r="Q5" i="28"/>
  <c r="P5" i="28"/>
  <c r="O5" i="28"/>
  <c r="M5" i="28"/>
  <c r="S9" i="22"/>
  <c r="R9" i="22"/>
  <c r="Q9" i="22"/>
  <c r="P9" i="22"/>
  <c r="O9" i="22"/>
  <c r="M9" i="22"/>
  <c r="S8" i="22"/>
  <c r="R8" i="22"/>
  <c r="Q8" i="22"/>
  <c r="P8" i="22"/>
  <c r="O8" i="22"/>
  <c r="M8" i="22"/>
  <c r="S7" i="22"/>
  <c r="R7" i="22"/>
  <c r="Q7" i="22"/>
  <c r="P7" i="22"/>
  <c r="O7" i="22"/>
  <c r="M7" i="22"/>
  <c r="S6" i="22"/>
  <c r="R6" i="22"/>
  <c r="Q6" i="22"/>
  <c r="P6" i="22"/>
  <c r="O6" i="22"/>
  <c r="M6" i="22"/>
  <c r="S3" i="22"/>
  <c r="R3" i="22"/>
  <c r="Q3" i="22"/>
  <c r="P3" i="22"/>
  <c r="O3" i="22"/>
  <c r="M3" i="22"/>
  <c r="X9" i="25"/>
  <c r="V9" i="25"/>
  <c r="U9" i="25"/>
  <c r="S9" i="25"/>
  <c r="R9" i="25"/>
  <c r="Q9" i="25"/>
  <c r="P9" i="25"/>
  <c r="O9" i="25"/>
  <c r="M9" i="25"/>
  <c r="X8" i="25"/>
  <c r="V8" i="25"/>
  <c r="U8" i="25"/>
  <c r="S8" i="25"/>
  <c r="R8" i="25"/>
  <c r="Q8" i="25"/>
  <c r="P8" i="25"/>
  <c r="O8" i="25"/>
  <c r="M8" i="25"/>
  <c r="X11" i="25"/>
  <c r="V11" i="25"/>
  <c r="U11" i="25"/>
  <c r="S11" i="25"/>
  <c r="R11" i="25"/>
  <c r="Q11" i="25"/>
  <c r="P11" i="25"/>
  <c r="O11" i="25"/>
  <c r="M11" i="25"/>
  <c r="T24" i="29" l="1"/>
  <c r="W24" i="29" s="1"/>
  <c r="T59" i="18"/>
  <c r="W59" i="18" s="1"/>
  <c r="T7" i="18"/>
  <c r="W7" i="18" s="1"/>
  <c r="T8" i="18"/>
  <c r="W8" i="18" s="1"/>
  <c r="T9" i="18"/>
  <c r="W9" i="18" s="1"/>
  <c r="T4" i="18"/>
  <c r="W4" i="18" s="1"/>
  <c r="T10" i="18"/>
  <c r="W10" i="18" s="1"/>
  <c r="T58" i="28"/>
  <c r="W58" i="28" s="1"/>
  <c r="T9" i="28"/>
  <c r="W9" i="28" s="1"/>
  <c r="T5" i="28"/>
  <c r="W5" i="28" s="1"/>
  <c r="T11" i="28"/>
  <c r="W11" i="28" s="1"/>
  <c r="T10" i="28"/>
  <c r="W10" i="28" s="1"/>
  <c r="T8" i="28"/>
  <c r="W8" i="28" s="1"/>
  <c r="T7" i="22"/>
  <c r="W7" i="22" s="1"/>
  <c r="T6" i="22"/>
  <c r="W6" i="22" s="1"/>
  <c r="T3" i="22"/>
  <c r="W3" i="22" s="1"/>
  <c r="T9" i="22"/>
  <c r="W9" i="22" s="1"/>
  <c r="T8" i="22"/>
  <c r="W8" i="22" s="1"/>
  <c r="T9" i="25"/>
  <c r="W9" i="25" s="1"/>
  <c r="T8" i="25"/>
  <c r="W8" i="25" s="1"/>
  <c r="T11" i="25"/>
  <c r="W11" i="25" s="1"/>
  <c r="S28" i="25" l="1"/>
  <c r="R28" i="25"/>
  <c r="Q28" i="25"/>
  <c r="P28" i="25"/>
  <c r="O28" i="25"/>
  <c r="M28" i="25"/>
  <c r="S27" i="25"/>
  <c r="R27" i="25"/>
  <c r="Q27" i="25"/>
  <c r="P27" i="25"/>
  <c r="O27" i="25"/>
  <c r="M27" i="25"/>
  <c r="S26" i="25"/>
  <c r="R26" i="25"/>
  <c r="Q26" i="25"/>
  <c r="P26" i="25"/>
  <c r="O26" i="25"/>
  <c r="M26" i="25"/>
  <c r="S25" i="25"/>
  <c r="R25" i="25"/>
  <c r="Q25" i="25"/>
  <c r="P25" i="25"/>
  <c r="O25" i="25"/>
  <c r="M25" i="25"/>
  <c r="S24" i="25"/>
  <c r="R24" i="25"/>
  <c r="Q24" i="25"/>
  <c r="P24" i="25"/>
  <c r="O24" i="25"/>
  <c r="M24" i="25"/>
  <c r="S23" i="25"/>
  <c r="R23" i="25"/>
  <c r="Q23" i="25"/>
  <c r="P23" i="25"/>
  <c r="O23" i="25"/>
  <c r="M23" i="25"/>
  <c r="S22" i="25"/>
  <c r="R22" i="25"/>
  <c r="Q22" i="25"/>
  <c r="P22" i="25"/>
  <c r="O22" i="25"/>
  <c r="M22" i="25"/>
  <c r="S28" i="22"/>
  <c r="R28" i="22"/>
  <c r="Q28" i="22"/>
  <c r="P28" i="22"/>
  <c r="O28" i="22"/>
  <c r="M28" i="22"/>
  <c r="S27" i="22"/>
  <c r="R27" i="22"/>
  <c r="Q27" i="22"/>
  <c r="P27" i="22"/>
  <c r="O27" i="22"/>
  <c r="M27" i="22"/>
  <c r="S26" i="22"/>
  <c r="R26" i="22"/>
  <c r="Q26" i="22"/>
  <c r="P26" i="22"/>
  <c r="O26" i="22"/>
  <c r="M26" i="22"/>
  <c r="S25" i="22"/>
  <c r="R25" i="22"/>
  <c r="Q25" i="22"/>
  <c r="P25" i="22"/>
  <c r="O25" i="22"/>
  <c r="M25" i="22"/>
  <c r="S24" i="22"/>
  <c r="R24" i="22"/>
  <c r="Q24" i="22"/>
  <c r="P24" i="22"/>
  <c r="O24" i="22"/>
  <c r="M24" i="22"/>
  <c r="S23" i="22"/>
  <c r="R23" i="22"/>
  <c r="Q23" i="22"/>
  <c r="P23" i="22"/>
  <c r="O23" i="22"/>
  <c r="M23" i="22"/>
  <c r="S22" i="22"/>
  <c r="R22" i="22"/>
  <c r="Q22" i="22"/>
  <c r="P22" i="22"/>
  <c r="O22" i="22"/>
  <c r="M22" i="22"/>
  <c r="S28" i="18"/>
  <c r="R28" i="18"/>
  <c r="Q28" i="18"/>
  <c r="P28" i="18"/>
  <c r="O28" i="18"/>
  <c r="M28" i="18"/>
  <c r="S27" i="18"/>
  <c r="R27" i="18"/>
  <c r="Q27" i="18"/>
  <c r="P27" i="18"/>
  <c r="O27" i="18"/>
  <c r="M27" i="18"/>
  <c r="S26" i="18"/>
  <c r="R26" i="18"/>
  <c r="Q26" i="18"/>
  <c r="P26" i="18"/>
  <c r="O26" i="18"/>
  <c r="M26" i="18"/>
  <c r="S25" i="18"/>
  <c r="R25" i="18"/>
  <c r="Q25" i="18"/>
  <c r="P25" i="18"/>
  <c r="O25" i="18"/>
  <c r="M25" i="18"/>
  <c r="S24" i="18"/>
  <c r="R24" i="18"/>
  <c r="Q24" i="18"/>
  <c r="P24" i="18"/>
  <c r="O24" i="18"/>
  <c r="M24" i="18"/>
  <c r="S23" i="18"/>
  <c r="R23" i="18"/>
  <c r="Q23" i="18"/>
  <c r="P23" i="18"/>
  <c r="O23" i="18"/>
  <c r="M23" i="18"/>
  <c r="S22" i="18"/>
  <c r="R22" i="18"/>
  <c r="Q22" i="18"/>
  <c r="P22" i="18"/>
  <c r="O22" i="18"/>
  <c r="M22" i="18"/>
  <c r="P27" i="28"/>
  <c r="P28" i="28"/>
  <c r="O28" i="28"/>
  <c r="Q28" i="28"/>
  <c r="M28" i="28"/>
  <c r="M27" i="28"/>
  <c r="R28" i="28"/>
  <c r="S28" i="28"/>
  <c r="O27" i="28"/>
  <c r="Q27" i="28"/>
  <c r="R27" i="28"/>
  <c r="S27" i="28"/>
  <c r="S26" i="28"/>
  <c r="R26" i="28"/>
  <c r="Q26" i="28"/>
  <c r="P26" i="28"/>
  <c r="O26" i="28"/>
  <c r="M26" i="28"/>
  <c r="S25" i="28"/>
  <c r="R25" i="28"/>
  <c r="Q25" i="28"/>
  <c r="P25" i="28"/>
  <c r="O25" i="28"/>
  <c r="M25" i="28"/>
  <c r="S24" i="28"/>
  <c r="R24" i="28"/>
  <c r="Q24" i="28"/>
  <c r="P24" i="28"/>
  <c r="O24" i="28"/>
  <c r="M24" i="28"/>
  <c r="S23" i="28"/>
  <c r="R23" i="28"/>
  <c r="Q23" i="28"/>
  <c r="P23" i="28"/>
  <c r="O23" i="28"/>
  <c r="M23" i="28"/>
  <c r="S22" i="28"/>
  <c r="R22" i="28"/>
  <c r="Q22" i="28"/>
  <c r="P22" i="28"/>
  <c r="O22" i="28"/>
  <c r="M22" i="28"/>
  <c r="T26" i="18" l="1"/>
  <c r="W26" i="18" s="1"/>
  <c r="T27" i="28"/>
  <c r="W27" i="28" s="1"/>
  <c r="T28" i="28"/>
  <c r="W28" i="28" s="1"/>
  <c r="T24" i="22"/>
  <c r="W24" i="22" s="1"/>
  <c r="T26" i="22"/>
  <c r="W26" i="22" s="1"/>
  <c r="T22" i="22"/>
  <c r="W22" i="22" s="1"/>
  <c r="T27" i="22"/>
  <c r="W27" i="22" s="1"/>
  <c r="T27" i="25"/>
  <c r="W27" i="25" s="1"/>
  <c r="T26" i="25"/>
  <c r="W26" i="25" s="1"/>
  <c r="T22" i="25"/>
  <c r="W22" i="25" s="1"/>
  <c r="T25" i="25"/>
  <c r="W25" i="25" s="1"/>
  <c r="T23" i="25"/>
  <c r="W23" i="25" s="1"/>
  <c r="T24" i="25"/>
  <c r="W24" i="25" s="1"/>
  <c r="T28" i="25"/>
  <c r="W28" i="25" s="1"/>
  <c r="T23" i="22"/>
  <c r="W23" i="22" s="1"/>
  <c r="T28" i="22"/>
  <c r="W28" i="22" s="1"/>
  <c r="T25" i="22"/>
  <c r="W25" i="22" s="1"/>
  <c r="T25" i="18"/>
  <c r="W25" i="18" s="1"/>
  <c r="T22" i="18"/>
  <c r="W22" i="18" s="1"/>
  <c r="T24" i="18"/>
  <c r="W24" i="18" s="1"/>
  <c r="T28" i="18"/>
  <c r="W28" i="18" s="1"/>
  <c r="T23" i="18"/>
  <c r="W23" i="18" s="1"/>
  <c r="T27" i="18"/>
  <c r="W27" i="18" s="1"/>
  <c r="T23" i="28"/>
  <c r="W23" i="28" s="1"/>
  <c r="T24" i="28"/>
  <c r="W24" i="28" s="1"/>
  <c r="T25" i="28"/>
  <c r="W25" i="28" s="1"/>
  <c r="T22" i="28"/>
  <c r="W22" i="28" s="1"/>
  <c r="T26" i="28"/>
  <c r="W26" i="28" s="1"/>
  <c r="X73" i="18"/>
  <c r="V73" i="18"/>
  <c r="U73" i="18"/>
  <c r="S73" i="18"/>
  <c r="R73" i="18"/>
  <c r="Q73" i="18"/>
  <c r="P73" i="18"/>
  <c r="O73" i="18"/>
  <c r="M73" i="18"/>
  <c r="T73" i="18" l="1"/>
  <c r="W73" i="18" s="1"/>
  <c r="O22" i="29"/>
  <c r="P22" i="29"/>
  <c r="Q22" i="29"/>
  <c r="R22" i="29"/>
  <c r="S22" i="29"/>
  <c r="O23" i="29"/>
  <c r="P23" i="29"/>
  <c r="Q23" i="29"/>
  <c r="R23" i="29"/>
  <c r="S23" i="29"/>
  <c r="O27" i="29"/>
  <c r="P27" i="29"/>
  <c r="Q27" i="29"/>
  <c r="R27" i="29"/>
  <c r="S27" i="29"/>
  <c r="M22" i="29"/>
  <c r="M23" i="29"/>
  <c r="M25" i="29"/>
  <c r="M26" i="29"/>
  <c r="M27" i="29"/>
  <c r="M28" i="29"/>
  <c r="M29" i="29"/>
  <c r="E73" i="29"/>
  <c r="F73" i="29"/>
  <c r="M74" i="29"/>
  <c r="O74" i="29"/>
  <c r="P74" i="29"/>
  <c r="Q74" i="29"/>
  <c r="R74" i="29"/>
  <c r="S74" i="29"/>
  <c r="U74" i="29"/>
  <c r="V74" i="29"/>
  <c r="X74" i="29"/>
  <c r="M75" i="29"/>
  <c r="O75" i="29"/>
  <c r="P75" i="29"/>
  <c r="Q75" i="29"/>
  <c r="R75" i="29"/>
  <c r="S75" i="29"/>
  <c r="U75" i="29"/>
  <c r="V75" i="29"/>
  <c r="X75" i="29"/>
  <c r="M76" i="29"/>
  <c r="O76" i="29"/>
  <c r="P76" i="29"/>
  <c r="Q76" i="29"/>
  <c r="R76" i="29"/>
  <c r="S76" i="29"/>
  <c r="U76" i="29"/>
  <c r="V76" i="29"/>
  <c r="X76" i="29"/>
  <c r="M77" i="29"/>
  <c r="O77" i="29"/>
  <c r="P77" i="29"/>
  <c r="Q77" i="29"/>
  <c r="R77" i="29"/>
  <c r="S77" i="29"/>
  <c r="U77" i="29"/>
  <c r="V77" i="29"/>
  <c r="X77" i="29"/>
  <c r="M78" i="29"/>
  <c r="O78" i="29"/>
  <c r="P78" i="29"/>
  <c r="Q78" i="29"/>
  <c r="R78" i="29"/>
  <c r="S78" i="29"/>
  <c r="U78" i="29"/>
  <c r="V78" i="29"/>
  <c r="X78" i="29"/>
  <c r="X29" i="29"/>
  <c r="K26" i="32" s="1"/>
  <c r="S29" i="29"/>
  <c r="R29" i="29"/>
  <c r="Q29" i="29"/>
  <c r="P29" i="29"/>
  <c r="O29" i="29"/>
  <c r="X28" i="29"/>
  <c r="S28" i="29"/>
  <c r="R28" i="29"/>
  <c r="Q28" i="29"/>
  <c r="P28" i="29"/>
  <c r="O28" i="29"/>
  <c r="X27" i="29"/>
  <c r="K25" i="32" s="1"/>
  <c r="S102" i="29"/>
  <c r="S104" i="29" s="1"/>
  <c r="R102" i="29"/>
  <c r="R104" i="29" s="1"/>
  <c r="Q102" i="29"/>
  <c r="Q104" i="29" s="1"/>
  <c r="P102" i="29"/>
  <c r="P104" i="29" s="1"/>
  <c r="O102" i="29"/>
  <c r="S101" i="29"/>
  <c r="R101" i="29"/>
  <c r="Q101" i="29"/>
  <c r="P101" i="29"/>
  <c r="O101" i="29"/>
  <c r="O92" i="29"/>
  <c r="X90" i="29"/>
  <c r="V90" i="29"/>
  <c r="U90" i="29"/>
  <c r="M90" i="29"/>
  <c r="X89" i="29"/>
  <c r="V89" i="29"/>
  <c r="U89" i="29"/>
  <c r="M89" i="29"/>
  <c r="X68" i="29"/>
  <c r="W68" i="29"/>
  <c r="U68" i="29"/>
  <c r="S68" i="29"/>
  <c r="R68" i="29"/>
  <c r="Q68" i="29"/>
  <c r="P68" i="29"/>
  <c r="O68" i="29"/>
  <c r="M68" i="29"/>
  <c r="X67" i="29"/>
  <c r="W67" i="29"/>
  <c r="U67" i="29"/>
  <c r="S67" i="29"/>
  <c r="R67" i="29"/>
  <c r="Q67" i="29"/>
  <c r="P67" i="29"/>
  <c r="O67" i="29"/>
  <c r="M67" i="29"/>
  <c r="X66" i="29"/>
  <c r="W66" i="29"/>
  <c r="U66" i="29"/>
  <c r="S66" i="29"/>
  <c r="R66" i="29"/>
  <c r="Q66" i="29"/>
  <c r="P66" i="29"/>
  <c r="O66" i="29"/>
  <c r="M66" i="29"/>
  <c r="X65" i="29"/>
  <c r="W65" i="29"/>
  <c r="V65" i="29"/>
  <c r="U65" i="29"/>
  <c r="S65" i="29"/>
  <c r="R65" i="29"/>
  <c r="Q65" i="29"/>
  <c r="P65" i="29"/>
  <c r="O65" i="29"/>
  <c r="M65" i="29"/>
  <c r="X64" i="29"/>
  <c r="W64" i="29"/>
  <c r="V64" i="29"/>
  <c r="U64" i="29"/>
  <c r="S64" i="29"/>
  <c r="R64" i="29"/>
  <c r="Q64" i="29"/>
  <c r="P64" i="29"/>
  <c r="O64" i="29"/>
  <c r="M64" i="29"/>
  <c r="X63" i="29"/>
  <c r="W63" i="29"/>
  <c r="V63" i="29"/>
  <c r="U63" i="29"/>
  <c r="S63" i="29"/>
  <c r="R63" i="29"/>
  <c r="Q63" i="29"/>
  <c r="P63" i="29"/>
  <c r="O63" i="29"/>
  <c r="M63" i="29"/>
  <c r="X62" i="29"/>
  <c r="V62" i="29"/>
  <c r="U62" i="29"/>
  <c r="S62" i="29"/>
  <c r="R62" i="29"/>
  <c r="Q62" i="29"/>
  <c r="P62" i="29"/>
  <c r="O62" i="29"/>
  <c r="M62" i="29"/>
  <c r="F61" i="29"/>
  <c r="E61" i="29"/>
  <c r="X55" i="29"/>
  <c r="V55" i="29"/>
  <c r="U55" i="29"/>
  <c r="S55" i="29"/>
  <c r="R55" i="29"/>
  <c r="Q55" i="29"/>
  <c r="P55" i="29"/>
  <c r="O55" i="29"/>
  <c r="M55" i="29"/>
  <c r="X54" i="29"/>
  <c r="W54" i="29"/>
  <c r="V54" i="29"/>
  <c r="U54" i="29"/>
  <c r="S54" i="29"/>
  <c r="R54" i="29"/>
  <c r="Q54" i="29"/>
  <c r="P54" i="29"/>
  <c r="O54" i="29"/>
  <c r="M54" i="29"/>
  <c r="X53" i="29"/>
  <c r="W53" i="29"/>
  <c r="U53" i="29"/>
  <c r="S53" i="29"/>
  <c r="R53" i="29"/>
  <c r="Q53" i="29"/>
  <c r="P53" i="29"/>
  <c r="O53" i="29"/>
  <c r="M53" i="29"/>
  <c r="X52" i="29"/>
  <c r="W52" i="29"/>
  <c r="V52" i="29"/>
  <c r="U52" i="29"/>
  <c r="S52" i="29"/>
  <c r="R52" i="29"/>
  <c r="Q52" i="29"/>
  <c r="P52" i="29"/>
  <c r="O52" i="29"/>
  <c r="M52" i="29"/>
  <c r="X51" i="29"/>
  <c r="W51" i="29"/>
  <c r="U51" i="29"/>
  <c r="S51" i="29"/>
  <c r="R51" i="29"/>
  <c r="Q51" i="29"/>
  <c r="P51" i="29"/>
  <c r="O51" i="29"/>
  <c r="M51" i="29"/>
  <c r="X50" i="29"/>
  <c r="V50" i="29"/>
  <c r="U50" i="29"/>
  <c r="S50" i="29"/>
  <c r="R50" i="29"/>
  <c r="Q50" i="29"/>
  <c r="P50" i="29"/>
  <c r="O50" i="29"/>
  <c r="M50" i="29"/>
  <c r="X49" i="29"/>
  <c r="W49" i="29"/>
  <c r="V49" i="29"/>
  <c r="U49" i="29"/>
  <c r="S49" i="29"/>
  <c r="R49" i="29"/>
  <c r="Q49" i="29"/>
  <c r="P49" i="29"/>
  <c r="O49" i="29"/>
  <c r="M49" i="29"/>
  <c r="X48" i="29"/>
  <c r="K19" i="32" s="1"/>
  <c r="V48" i="29"/>
  <c r="I19" i="32" s="1"/>
  <c r="U48" i="29"/>
  <c r="H19" i="32" s="1"/>
  <c r="S48" i="29"/>
  <c r="R48" i="29"/>
  <c r="Q48" i="29"/>
  <c r="P48" i="29"/>
  <c r="O48" i="29"/>
  <c r="M48" i="29"/>
  <c r="X47" i="29"/>
  <c r="K18" i="32" s="1"/>
  <c r="V47" i="29"/>
  <c r="I18" i="32" s="1"/>
  <c r="U47" i="29"/>
  <c r="H18" i="32" s="1"/>
  <c r="S47" i="29"/>
  <c r="R47" i="29"/>
  <c r="Q47" i="29"/>
  <c r="P47" i="29"/>
  <c r="O47" i="29"/>
  <c r="M47" i="29"/>
  <c r="X46" i="29"/>
  <c r="K17" i="32" s="1"/>
  <c r="V46" i="29"/>
  <c r="I17" i="32" s="1"/>
  <c r="U46" i="29"/>
  <c r="H17" i="32" s="1"/>
  <c r="S46" i="29"/>
  <c r="R46" i="29"/>
  <c r="Q46" i="29"/>
  <c r="P46" i="29"/>
  <c r="O46" i="29"/>
  <c r="M46" i="29"/>
  <c r="X45" i="29"/>
  <c r="K16" i="32" s="1"/>
  <c r="V45" i="29"/>
  <c r="I16" i="32" s="1"/>
  <c r="U45" i="29"/>
  <c r="H16" i="32" s="1"/>
  <c r="S45" i="29"/>
  <c r="R45" i="29"/>
  <c r="Q45" i="29"/>
  <c r="P45" i="29"/>
  <c r="O45" i="29"/>
  <c r="M45" i="29"/>
  <c r="X44" i="29"/>
  <c r="V44" i="29"/>
  <c r="S44" i="29"/>
  <c r="R44" i="29"/>
  <c r="Q44" i="29"/>
  <c r="P44" i="29"/>
  <c r="O44" i="29"/>
  <c r="M44" i="29"/>
  <c r="F43" i="29"/>
  <c r="E43" i="29"/>
  <c r="X38" i="29"/>
  <c r="W38" i="29"/>
  <c r="V38" i="29"/>
  <c r="S38" i="29"/>
  <c r="R38" i="29"/>
  <c r="Q38" i="29"/>
  <c r="O38" i="29"/>
  <c r="X37" i="29"/>
  <c r="W37" i="29"/>
  <c r="V37" i="29"/>
  <c r="U37" i="29"/>
  <c r="Q37" i="29"/>
  <c r="P37" i="29"/>
  <c r="O37" i="29"/>
  <c r="S37" i="29"/>
  <c r="R37" i="29"/>
  <c r="X36" i="29"/>
  <c r="W36" i="29"/>
  <c r="V36" i="29"/>
  <c r="S36" i="29"/>
  <c r="R36" i="29"/>
  <c r="Q36" i="29"/>
  <c r="P36" i="29"/>
  <c r="O36" i="29"/>
  <c r="M36" i="29"/>
  <c r="X35" i="29"/>
  <c r="V35" i="29"/>
  <c r="S35" i="29"/>
  <c r="R35" i="29"/>
  <c r="Q35" i="29"/>
  <c r="P35" i="29"/>
  <c r="O35" i="29"/>
  <c r="M35" i="29"/>
  <c r="X30" i="29"/>
  <c r="V30" i="29"/>
  <c r="U30" i="29"/>
  <c r="S30" i="29"/>
  <c r="R30" i="29"/>
  <c r="Q30" i="29"/>
  <c r="P30" i="29"/>
  <c r="O30" i="29"/>
  <c r="M30" i="29"/>
  <c r="X26" i="29"/>
  <c r="V26" i="29"/>
  <c r="I28" i="32" s="1"/>
  <c r="U26" i="29"/>
  <c r="S26" i="29"/>
  <c r="R26" i="29"/>
  <c r="Q26" i="29"/>
  <c r="P26" i="29"/>
  <c r="O26" i="29"/>
  <c r="X25" i="29"/>
  <c r="V25" i="29"/>
  <c r="U25" i="29"/>
  <c r="S25" i="29"/>
  <c r="R25" i="29"/>
  <c r="Q25" i="29"/>
  <c r="P25" i="29"/>
  <c r="O25" i="29"/>
  <c r="X23" i="29"/>
  <c r="V23" i="29"/>
  <c r="U23" i="29"/>
  <c r="X22" i="29"/>
  <c r="V22" i="29"/>
  <c r="U22" i="29"/>
  <c r="X21" i="29"/>
  <c r="V21" i="29"/>
  <c r="U21" i="29"/>
  <c r="S21" i="29"/>
  <c r="R21" i="29"/>
  <c r="Q21" i="29"/>
  <c r="P21" i="29"/>
  <c r="O21" i="29"/>
  <c r="M21" i="29"/>
  <c r="X4" i="29"/>
  <c r="K30" i="32" s="1"/>
  <c r="V4" i="29"/>
  <c r="I30" i="32" s="1"/>
  <c r="U4" i="29"/>
  <c r="H30" i="32" s="1"/>
  <c r="F3" i="29"/>
  <c r="E3" i="29"/>
  <c r="L31" i="26"/>
  <c r="K31" i="26"/>
  <c r="J31" i="26"/>
  <c r="I31" i="26"/>
  <c r="H31" i="26"/>
  <c r="K28" i="32" l="1"/>
  <c r="K24" i="32"/>
  <c r="K3" i="32"/>
  <c r="K14" i="32"/>
  <c r="H4" i="32"/>
  <c r="H5" i="32"/>
  <c r="H3" i="32"/>
  <c r="I4" i="32"/>
  <c r="I5" i="32"/>
  <c r="I15" i="32"/>
  <c r="I29" i="32"/>
  <c r="I2" i="32"/>
  <c r="K2" i="32"/>
  <c r="K29" i="32"/>
  <c r="H2" i="32"/>
  <c r="I3" i="32"/>
  <c r="K4" i="32"/>
  <c r="K5" i="32"/>
  <c r="I14" i="32"/>
  <c r="K15" i="32"/>
  <c r="H29" i="32"/>
  <c r="D10" i="26"/>
  <c r="D31" i="26" s="1"/>
  <c r="E10" i="26"/>
  <c r="E31" i="26" s="1"/>
  <c r="G10" i="26"/>
  <c r="G31" i="26" s="1"/>
  <c r="X32" i="29"/>
  <c r="O80" i="29"/>
  <c r="T77" i="29"/>
  <c r="W77" i="29" s="1"/>
  <c r="S80" i="29"/>
  <c r="T27" i="29"/>
  <c r="V27" i="29" s="1"/>
  <c r="I25" i="32" s="1"/>
  <c r="V92" i="29"/>
  <c r="V80" i="29"/>
  <c r="X80" i="29"/>
  <c r="U80" i="29"/>
  <c r="T74" i="29"/>
  <c r="W74" i="29" s="1"/>
  <c r="T78" i="29"/>
  <c r="W78" i="29" s="1"/>
  <c r="U92" i="29"/>
  <c r="R80" i="29"/>
  <c r="T76" i="29"/>
  <c r="W76" i="29" s="1"/>
  <c r="Q80" i="29"/>
  <c r="T75" i="29"/>
  <c r="W75" i="29" s="1"/>
  <c r="P80" i="29"/>
  <c r="Q57" i="29"/>
  <c r="T52" i="29"/>
  <c r="T101" i="29"/>
  <c r="T28" i="29"/>
  <c r="V28" i="29" s="1"/>
  <c r="I24" i="32" s="1"/>
  <c r="T29" i="29"/>
  <c r="V29" i="29" s="1"/>
  <c r="I26" i="32" s="1"/>
  <c r="U70" i="29"/>
  <c r="T36" i="29"/>
  <c r="U36" i="29" s="1"/>
  <c r="T49" i="29"/>
  <c r="Q70" i="29"/>
  <c r="T102" i="29"/>
  <c r="M37" i="29"/>
  <c r="M38" i="29"/>
  <c r="T45" i="29"/>
  <c r="W45" i="29" s="1"/>
  <c r="J16" i="32" s="1"/>
  <c r="S57" i="29"/>
  <c r="T67" i="29"/>
  <c r="V67" i="29" s="1"/>
  <c r="O104" i="29"/>
  <c r="T104" i="29" s="1"/>
  <c r="T53" i="29"/>
  <c r="V53" i="29" s="1"/>
  <c r="T64" i="29"/>
  <c r="T66" i="29"/>
  <c r="V66" i="29" s="1"/>
  <c r="X92" i="29"/>
  <c r="O40" i="29"/>
  <c r="P89" i="29" s="1"/>
  <c r="T21" i="29"/>
  <c r="W21" i="29" s="1"/>
  <c r="T26" i="29"/>
  <c r="W26" i="29" s="1"/>
  <c r="Q40" i="29"/>
  <c r="V40" i="29"/>
  <c r="S40" i="29"/>
  <c r="T54" i="29"/>
  <c r="R70" i="29"/>
  <c r="T65" i="29"/>
  <c r="R40" i="29"/>
  <c r="T37" i="29"/>
  <c r="S70" i="29"/>
  <c r="T25" i="29"/>
  <c r="W25" i="29" s="1"/>
  <c r="T30" i="29"/>
  <c r="W30" i="29" s="1"/>
  <c r="T35" i="29"/>
  <c r="X40" i="29"/>
  <c r="T63" i="29"/>
  <c r="P38" i="29"/>
  <c r="R57" i="29"/>
  <c r="T46" i="29"/>
  <c r="W46" i="29" s="1"/>
  <c r="J17" i="32" s="1"/>
  <c r="T47" i="29"/>
  <c r="W47" i="29" s="1"/>
  <c r="J18" i="32" s="1"/>
  <c r="T50" i="29"/>
  <c r="W50" i="29" s="1"/>
  <c r="T51" i="29"/>
  <c r="V51" i="29" s="1"/>
  <c r="T55" i="29"/>
  <c r="W55" i="29" s="1"/>
  <c r="O57" i="29"/>
  <c r="P90" i="29" s="1"/>
  <c r="T62" i="29"/>
  <c r="W62" i="29" s="1"/>
  <c r="X70" i="29"/>
  <c r="T68" i="29"/>
  <c r="V68" i="29" s="1"/>
  <c r="O70" i="29"/>
  <c r="X57" i="29"/>
  <c r="P70" i="29"/>
  <c r="P57" i="29"/>
  <c r="T44" i="29"/>
  <c r="T48" i="29"/>
  <c r="W48" i="29" s="1"/>
  <c r="J19" i="32" s="1"/>
  <c r="Q90" i="29" l="1"/>
  <c r="R90" i="29" s="1"/>
  <c r="S90" i="29" s="1"/>
  <c r="J28" i="32"/>
  <c r="J5" i="32"/>
  <c r="J29" i="32"/>
  <c r="J3" i="32"/>
  <c r="V32" i="29"/>
  <c r="W70" i="29"/>
  <c r="W35" i="29"/>
  <c r="U35" i="29"/>
  <c r="O107" i="29"/>
  <c r="W44" i="29"/>
  <c r="U44" i="29"/>
  <c r="H15" i="32" s="1"/>
  <c r="W29" i="29"/>
  <c r="J26" i="32" s="1"/>
  <c r="U29" i="29"/>
  <c r="H26" i="32" s="1"/>
  <c r="W28" i="29"/>
  <c r="U28" i="29"/>
  <c r="W27" i="29"/>
  <c r="J25" i="32" s="1"/>
  <c r="U27" i="29"/>
  <c r="H25" i="32" s="1"/>
  <c r="W80" i="29"/>
  <c r="T80" i="29"/>
  <c r="X85" i="29"/>
  <c r="X96" i="29" s="1"/>
  <c r="V57" i="29"/>
  <c r="V70" i="29"/>
  <c r="P40" i="29"/>
  <c r="Q89" i="29" s="1"/>
  <c r="R89" i="29" s="1"/>
  <c r="S89" i="29" s="1"/>
  <c r="T70" i="29"/>
  <c r="T57" i="29"/>
  <c r="T38" i="29"/>
  <c r="U38" i="29" s="1"/>
  <c r="U40" i="29" l="1"/>
  <c r="H24" i="32"/>
  <c r="J24" i="32"/>
  <c r="J15" i="32"/>
  <c r="L40" i="32"/>
  <c r="J14" i="32"/>
  <c r="H14" i="32"/>
  <c r="W40" i="29"/>
  <c r="W57" i="29"/>
  <c r="U57" i="29"/>
  <c r="U32" i="29"/>
  <c r="H39" i="26"/>
  <c r="V85" i="29"/>
  <c r="V96" i="29" s="1"/>
  <c r="T40" i="29"/>
  <c r="P92" i="29"/>
  <c r="T22" i="29"/>
  <c r="W22" i="29" s="1"/>
  <c r="T23" i="29"/>
  <c r="W23" i="29" s="1"/>
  <c r="U85" i="29" l="1"/>
  <c r="U96" i="29" s="1"/>
  <c r="L37" i="32" s="1"/>
  <c r="J4" i="32"/>
  <c r="L38" i="32"/>
  <c r="J2" i="32"/>
  <c r="Q92" i="29"/>
  <c r="P107" i="29"/>
  <c r="Q107" i="29" l="1"/>
  <c r="T90" i="29"/>
  <c r="R92" i="29"/>
  <c r="R107" i="29" l="1"/>
  <c r="S92" i="29"/>
  <c r="T89" i="29"/>
  <c r="W89" i="29" s="1"/>
  <c r="T92" i="29" l="1"/>
  <c r="H38" i="26" s="1"/>
  <c r="W90" i="29"/>
  <c r="W92" i="29" s="1"/>
  <c r="S107" i="29"/>
  <c r="T107" i="29" s="1"/>
  <c r="E17" i="26" l="1"/>
  <c r="F17" i="26"/>
  <c r="G17" i="26"/>
  <c r="D17" i="26"/>
  <c r="W84" i="25"/>
  <c r="V84" i="25"/>
  <c r="U84" i="25"/>
  <c r="W83" i="25"/>
  <c r="V83" i="25"/>
  <c r="U83" i="25"/>
  <c r="X72" i="25"/>
  <c r="V72" i="25"/>
  <c r="U72" i="25"/>
  <c r="X71" i="25"/>
  <c r="V71" i="25"/>
  <c r="U71" i="25"/>
  <c r="X70" i="25"/>
  <c r="V70" i="25"/>
  <c r="U70" i="25"/>
  <c r="X69" i="25"/>
  <c r="V69" i="25"/>
  <c r="U69" i="25"/>
  <c r="X68" i="25"/>
  <c r="V68" i="25"/>
  <c r="U68" i="25"/>
  <c r="X62" i="25"/>
  <c r="W62" i="25"/>
  <c r="U62" i="25"/>
  <c r="X61" i="25"/>
  <c r="W61" i="25"/>
  <c r="U61" i="25"/>
  <c r="X60" i="25"/>
  <c r="U60" i="25"/>
  <c r="X59" i="25"/>
  <c r="V59" i="25"/>
  <c r="U59" i="25"/>
  <c r="X58" i="25"/>
  <c r="W58" i="25"/>
  <c r="V58" i="25"/>
  <c r="U58" i="25"/>
  <c r="X57" i="25"/>
  <c r="V57" i="25"/>
  <c r="U57" i="25"/>
  <c r="X56" i="25"/>
  <c r="V56" i="25"/>
  <c r="U56" i="25"/>
  <c r="X12" i="25"/>
  <c r="V12" i="25"/>
  <c r="U12" i="25"/>
  <c r="X7" i="25"/>
  <c r="V7" i="25"/>
  <c r="U7" i="25"/>
  <c r="X6" i="25"/>
  <c r="V6" i="25"/>
  <c r="U6" i="25"/>
  <c r="X5" i="25"/>
  <c r="V5" i="25"/>
  <c r="U5" i="25"/>
  <c r="X4" i="25"/>
  <c r="V4" i="25"/>
  <c r="U4" i="25"/>
  <c r="X3" i="25"/>
  <c r="V3" i="25"/>
  <c r="U3" i="25"/>
  <c r="X50" i="25"/>
  <c r="V50" i="25"/>
  <c r="U50" i="25"/>
  <c r="X49" i="25"/>
  <c r="V49" i="25"/>
  <c r="U49" i="25"/>
  <c r="X48" i="25"/>
  <c r="W48" i="25"/>
  <c r="V48" i="25"/>
  <c r="U48" i="25"/>
  <c r="X47" i="25"/>
  <c r="W47" i="25"/>
  <c r="U47" i="25"/>
  <c r="X46" i="25"/>
  <c r="V46" i="25"/>
  <c r="U46" i="25"/>
  <c r="X45" i="25"/>
  <c r="W45" i="25"/>
  <c r="V45" i="25"/>
  <c r="U45" i="25"/>
  <c r="X44" i="25"/>
  <c r="V44" i="25"/>
  <c r="U44" i="25"/>
  <c r="X43" i="25"/>
  <c r="V43" i="25"/>
  <c r="U43" i="25"/>
  <c r="X42" i="25"/>
  <c r="V42" i="25"/>
  <c r="U42" i="25"/>
  <c r="X41" i="25"/>
  <c r="V41" i="25"/>
  <c r="U41" i="25"/>
  <c r="X40" i="25"/>
  <c r="V40" i="25"/>
  <c r="U40" i="25"/>
  <c r="X34" i="25"/>
  <c r="W34" i="25"/>
  <c r="V34" i="25"/>
  <c r="X33" i="25"/>
  <c r="V33" i="25"/>
  <c r="U33" i="25"/>
  <c r="X32" i="25"/>
  <c r="V32" i="25"/>
  <c r="U32" i="25"/>
  <c r="X31" i="25"/>
  <c r="V31" i="25"/>
  <c r="U31" i="25"/>
  <c r="X30" i="25"/>
  <c r="V30" i="25"/>
  <c r="U30" i="25"/>
  <c r="X29" i="25"/>
  <c r="V29" i="25"/>
  <c r="U29" i="25"/>
  <c r="X21" i="25"/>
  <c r="V21" i="25"/>
  <c r="W20" i="25"/>
  <c r="V20" i="25"/>
  <c r="U20" i="25"/>
  <c r="X19" i="25"/>
  <c r="V19" i="25"/>
  <c r="U19" i="25"/>
  <c r="W85" i="22"/>
  <c r="V85" i="22"/>
  <c r="U85" i="22"/>
  <c r="W84" i="22"/>
  <c r="V84" i="22"/>
  <c r="U84" i="22"/>
  <c r="X73" i="22"/>
  <c r="V73" i="22"/>
  <c r="U73" i="22"/>
  <c r="X72" i="22"/>
  <c r="V72" i="22"/>
  <c r="U72" i="22"/>
  <c r="X71" i="22"/>
  <c r="V71" i="22"/>
  <c r="U71" i="22"/>
  <c r="X70" i="22"/>
  <c r="V70" i="22"/>
  <c r="U70" i="22"/>
  <c r="X69" i="22"/>
  <c r="V69" i="22"/>
  <c r="U69" i="22"/>
  <c r="X63" i="22"/>
  <c r="W63" i="22"/>
  <c r="U63" i="22"/>
  <c r="X62" i="22"/>
  <c r="W62" i="22"/>
  <c r="U62" i="22"/>
  <c r="X61" i="22"/>
  <c r="U61" i="22"/>
  <c r="X60" i="22"/>
  <c r="V60" i="22"/>
  <c r="U60" i="22"/>
  <c r="X59" i="22"/>
  <c r="W59" i="22"/>
  <c r="V59" i="22"/>
  <c r="U59" i="22"/>
  <c r="X58" i="22"/>
  <c r="V58" i="22"/>
  <c r="U58" i="22"/>
  <c r="X57" i="22"/>
  <c r="V57" i="22"/>
  <c r="U57" i="22"/>
  <c r="X12" i="22"/>
  <c r="X10" i="22" s="1"/>
  <c r="V12" i="22"/>
  <c r="V10" i="22" s="1"/>
  <c r="U12" i="22"/>
  <c r="U10" i="22" s="1"/>
  <c r="X11" i="22"/>
  <c r="V11" i="22"/>
  <c r="U11" i="22"/>
  <c r="X51" i="22"/>
  <c r="V51" i="22"/>
  <c r="U51" i="22"/>
  <c r="X50" i="22"/>
  <c r="V50" i="22"/>
  <c r="I20" i="32" s="1"/>
  <c r="U50" i="22"/>
  <c r="X49" i="22"/>
  <c r="W49" i="22"/>
  <c r="U49" i="22"/>
  <c r="X48" i="22"/>
  <c r="W48" i="22"/>
  <c r="V48" i="22"/>
  <c r="U48" i="22"/>
  <c r="X47" i="22"/>
  <c r="W47" i="22"/>
  <c r="U47" i="22"/>
  <c r="X46" i="22"/>
  <c r="V46" i="22"/>
  <c r="U46" i="22"/>
  <c r="X45" i="22"/>
  <c r="W45" i="22"/>
  <c r="V45" i="22"/>
  <c r="U45" i="22"/>
  <c r="X44" i="22"/>
  <c r="V44" i="22"/>
  <c r="U44" i="22"/>
  <c r="X43" i="22"/>
  <c r="V43" i="22"/>
  <c r="U43" i="22"/>
  <c r="X42" i="22"/>
  <c r="V42" i="22"/>
  <c r="U42" i="22"/>
  <c r="X41" i="22"/>
  <c r="V41" i="22"/>
  <c r="U41" i="22"/>
  <c r="X40" i="22"/>
  <c r="V40" i="22"/>
  <c r="U40" i="22"/>
  <c r="X34" i="22"/>
  <c r="W34" i="22"/>
  <c r="V34" i="22"/>
  <c r="X33" i="22"/>
  <c r="V33" i="22"/>
  <c r="X32" i="22"/>
  <c r="V32" i="22"/>
  <c r="U32" i="22"/>
  <c r="X31" i="22"/>
  <c r="V31" i="22"/>
  <c r="U31" i="22"/>
  <c r="X30" i="22"/>
  <c r="W30" i="22"/>
  <c r="V30" i="22"/>
  <c r="U30" i="22"/>
  <c r="X21" i="22"/>
  <c r="V21" i="22"/>
  <c r="W20" i="22"/>
  <c r="V20" i="22"/>
  <c r="U20" i="22"/>
  <c r="X19" i="22"/>
  <c r="W19" i="22"/>
  <c r="V19" i="22"/>
  <c r="U19" i="22"/>
  <c r="X70" i="18"/>
  <c r="V70" i="18"/>
  <c r="U70" i="18"/>
  <c r="X87" i="18"/>
  <c r="V87" i="18"/>
  <c r="U87" i="18"/>
  <c r="V86" i="18"/>
  <c r="U86" i="18"/>
  <c r="X75" i="18"/>
  <c r="V75" i="18"/>
  <c r="U75" i="18"/>
  <c r="X74" i="18"/>
  <c r="V74" i="18"/>
  <c r="U74" i="18"/>
  <c r="X72" i="18"/>
  <c r="V72" i="18"/>
  <c r="U72" i="18"/>
  <c r="X71" i="18"/>
  <c r="V71" i="18"/>
  <c r="U71" i="18"/>
  <c r="X64" i="18"/>
  <c r="W64" i="18"/>
  <c r="U64" i="18"/>
  <c r="X63" i="18"/>
  <c r="W63" i="18"/>
  <c r="U63" i="18"/>
  <c r="X51" i="18"/>
  <c r="V51" i="18"/>
  <c r="U51" i="18"/>
  <c r="X50" i="18"/>
  <c r="U50" i="18"/>
  <c r="H20" i="32" s="1"/>
  <c r="X49" i="18"/>
  <c r="W49" i="18"/>
  <c r="U49" i="18"/>
  <c r="X48" i="18"/>
  <c r="W48" i="18"/>
  <c r="V48" i="18"/>
  <c r="U48" i="18"/>
  <c r="X47" i="18"/>
  <c r="W47" i="18"/>
  <c r="U47" i="18"/>
  <c r="X46" i="18"/>
  <c r="V46" i="18"/>
  <c r="U46" i="18"/>
  <c r="X45" i="18"/>
  <c r="W45" i="18"/>
  <c r="V45" i="18"/>
  <c r="U45" i="18"/>
  <c r="X44" i="18"/>
  <c r="V44" i="18"/>
  <c r="U44" i="18"/>
  <c r="X43" i="18"/>
  <c r="V43" i="18"/>
  <c r="U43" i="18"/>
  <c r="X42" i="18"/>
  <c r="V42" i="18"/>
  <c r="U42" i="18"/>
  <c r="X41" i="18"/>
  <c r="V41" i="18"/>
  <c r="U41" i="18"/>
  <c r="X40" i="18"/>
  <c r="V40" i="18"/>
  <c r="U40" i="18"/>
  <c r="W18" i="18"/>
  <c r="X18" i="18"/>
  <c r="W19" i="18"/>
  <c r="X19" i="18"/>
  <c r="W20" i="18"/>
  <c r="X20" i="18"/>
  <c r="X29" i="18"/>
  <c r="X30" i="18"/>
  <c r="X31" i="18"/>
  <c r="X32" i="18"/>
  <c r="X33" i="18"/>
  <c r="W34" i="18"/>
  <c r="X34" i="18"/>
  <c r="V18" i="18"/>
  <c r="V19" i="18"/>
  <c r="V20" i="18"/>
  <c r="V29" i="18"/>
  <c r="V30" i="18"/>
  <c r="V31" i="18"/>
  <c r="V32" i="18"/>
  <c r="V33" i="18"/>
  <c r="V34" i="18"/>
  <c r="U20" i="18"/>
  <c r="U29" i="18"/>
  <c r="U30" i="18"/>
  <c r="U31" i="18"/>
  <c r="U32" i="18"/>
  <c r="U33" i="18"/>
  <c r="U18" i="18"/>
  <c r="L34" i="25"/>
  <c r="S34" i="25" s="1"/>
  <c r="K34" i="25"/>
  <c r="R34" i="25" s="1"/>
  <c r="J34" i="25"/>
  <c r="Q34" i="25" s="1"/>
  <c r="I34" i="25"/>
  <c r="P34" i="25" s="1"/>
  <c r="H34" i="25"/>
  <c r="O34" i="25" s="1"/>
  <c r="S96" i="25"/>
  <c r="S98" i="25" s="1"/>
  <c r="R96" i="25"/>
  <c r="R98" i="25" s="1"/>
  <c r="Q96" i="25"/>
  <c r="Q98" i="25" s="1"/>
  <c r="P96" i="25"/>
  <c r="P98" i="25" s="1"/>
  <c r="O96" i="25"/>
  <c r="S95" i="25"/>
  <c r="R95" i="25"/>
  <c r="Q95" i="25"/>
  <c r="P95" i="25"/>
  <c r="O95" i="25"/>
  <c r="O86" i="25"/>
  <c r="S72" i="25"/>
  <c r="R72" i="25"/>
  <c r="Q72" i="25"/>
  <c r="P72" i="25"/>
  <c r="O72" i="25"/>
  <c r="M72" i="25"/>
  <c r="S71" i="25"/>
  <c r="R71" i="25"/>
  <c r="Q71" i="25"/>
  <c r="P71" i="25"/>
  <c r="O71" i="25"/>
  <c r="M71" i="25"/>
  <c r="S70" i="25"/>
  <c r="R70" i="25"/>
  <c r="Q70" i="25"/>
  <c r="P70" i="25"/>
  <c r="O70" i="25"/>
  <c r="M70" i="25"/>
  <c r="S69" i="25"/>
  <c r="R69" i="25"/>
  <c r="Q69" i="25"/>
  <c r="P69" i="25"/>
  <c r="O69" i="25"/>
  <c r="M69" i="25"/>
  <c r="S68" i="25"/>
  <c r="R68" i="25"/>
  <c r="Q68" i="25"/>
  <c r="P68" i="25"/>
  <c r="O68" i="25"/>
  <c r="M68" i="25"/>
  <c r="F67" i="25"/>
  <c r="E67" i="25"/>
  <c r="S62" i="25"/>
  <c r="R62" i="25"/>
  <c r="Q62" i="25"/>
  <c r="P62" i="25"/>
  <c r="O62" i="25"/>
  <c r="M62" i="25"/>
  <c r="S61" i="25"/>
  <c r="R61" i="25"/>
  <c r="Q61" i="25"/>
  <c r="P61" i="25"/>
  <c r="O61" i="25"/>
  <c r="M61" i="25"/>
  <c r="S60" i="25"/>
  <c r="R60" i="25"/>
  <c r="Q60" i="25"/>
  <c r="P60" i="25"/>
  <c r="O60" i="25"/>
  <c r="M60" i="25"/>
  <c r="S59" i="25"/>
  <c r="R59" i="25"/>
  <c r="Q59" i="25"/>
  <c r="P59" i="25"/>
  <c r="O59" i="25"/>
  <c r="M59" i="25"/>
  <c r="S58" i="25"/>
  <c r="R58" i="25"/>
  <c r="Q58" i="25"/>
  <c r="P58" i="25"/>
  <c r="O58" i="25"/>
  <c r="M58" i="25"/>
  <c r="S57" i="25"/>
  <c r="R57" i="25"/>
  <c r="Q57" i="25"/>
  <c r="P57" i="25"/>
  <c r="O57" i="25"/>
  <c r="M57" i="25"/>
  <c r="S56" i="25"/>
  <c r="R56" i="25"/>
  <c r="Q56" i="25"/>
  <c r="P56" i="25"/>
  <c r="O56" i="25"/>
  <c r="M56" i="25"/>
  <c r="F55" i="25"/>
  <c r="E55" i="25"/>
  <c r="S12" i="25"/>
  <c r="R12" i="25"/>
  <c r="Q12" i="25"/>
  <c r="P12" i="25"/>
  <c r="O12" i="25"/>
  <c r="M12" i="25"/>
  <c r="S7" i="25"/>
  <c r="R7" i="25"/>
  <c r="Q7" i="25"/>
  <c r="P7" i="25"/>
  <c r="O7" i="25"/>
  <c r="M7" i="25"/>
  <c r="S6" i="25"/>
  <c r="R6" i="25"/>
  <c r="Q6" i="25"/>
  <c r="P6" i="25"/>
  <c r="O6" i="25"/>
  <c r="M6" i="25"/>
  <c r="S3" i="25"/>
  <c r="R3" i="25"/>
  <c r="Q3" i="25"/>
  <c r="P3" i="25"/>
  <c r="O3" i="25"/>
  <c r="M3" i="25"/>
  <c r="F2" i="25"/>
  <c r="E2" i="25"/>
  <c r="S50" i="25"/>
  <c r="R50" i="25"/>
  <c r="Q50" i="25"/>
  <c r="P50" i="25"/>
  <c r="O50" i="25"/>
  <c r="M50" i="25"/>
  <c r="S49" i="25"/>
  <c r="R49" i="25"/>
  <c r="Q49" i="25"/>
  <c r="P49" i="25"/>
  <c r="O49" i="25"/>
  <c r="M49" i="25"/>
  <c r="S48" i="25"/>
  <c r="R48" i="25"/>
  <c r="Q48" i="25"/>
  <c r="P48" i="25"/>
  <c r="O48" i="25"/>
  <c r="M48" i="25"/>
  <c r="S47" i="25"/>
  <c r="R47" i="25"/>
  <c r="Q47" i="25"/>
  <c r="P47" i="25"/>
  <c r="O47" i="25"/>
  <c r="M47" i="25"/>
  <c r="S46" i="25"/>
  <c r="R46" i="25"/>
  <c r="Q46" i="25"/>
  <c r="P46" i="25"/>
  <c r="O46" i="25"/>
  <c r="M46" i="25"/>
  <c r="S45" i="25"/>
  <c r="R45" i="25"/>
  <c r="Q45" i="25"/>
  <c r="P45" i="25"/>
  <c r="O45" i="25"/>
  <c r="M45" i="25"/>
  <c r="S44" i="25"/>
  <c r="R44" i="25"/>
  <c r="Q44" i="25"/>
  <c r="P44" i="25"/>
  <c r="O44" i="25"/>
  <c r="M44" i="25"/>
  <c r="S43" i="25"/>
  <c r="R43" i="25"/>
  <c r="Q43" i="25"/>
  <c r="P43" i="25"/>
  <c r="O43" i="25"/>
  <c r="M43" i="25"/>
  <c r="S42" i="25"/>
  <c r="R42" i="25"/>
  <c r="Q42" i="25"/>
  <c r="P42" i="25"/>
  <c r="O42" i="25"/>
  <c r="M42" i="25"/>
  <c r="S41" i="25"/>
  <c r="R41" i="25"/>
  <c r="Q41" i="25"/>
  <c r="P41" i="25"/>
  <c r="O41" i="25"/>
  <c r="M41" i="25"/>
  <c r="S40" i="25"/>
  <c r="R40" i="25"/>
  <c r="Q40" i="25"/>
  <c r="P40" i="25"/>
  <c r="O40" i="25"/>
  <c r="M40" i="25"/>
  <c r="F39" i="25"/>
  <c r="E39" i="25"/>
  <c r="S33" i="25"/>
  <c r="R33" i="25"/>
  <c r="Q33" i="25"/>
  <c r="P33" i="25"/>
  <c r="O33" i="25"/>
  <c r="M33" i="25"/>
  <c r="S32" i="25"/>
  <c r="R32" i="25"/>
  <c r="Q32" i="25"/>
  <c r="P32" i="25"/>
  <c r="O32" i="25"/>
  <c r="M32" i="25"/>
  <c r="S31" i="25"/>
  <c r="R31" i="25"/>
  <c r="Q31" i="25"/>
  <c r="P31" i="25"/>
  <c r="O31" i="25"/>
  <c r="M31" i="25"/>
  <c r="S30" i="25"/>
  <c r="R30" i="25"/>
  <c r="Q30" i="25"/>
  <c r="P30" i="25"/>
  <c r="O30" i="25"/>
  <c r="M30" i="25"/>
  <c r="S29" i="25"/>
  <c r="R29" i="25"/>
  <c r="Q29" i="25"/>
  <c r="P29" i="25"/>
  <c r="O29" i="25"/>
  <c r="M29" i="25"/>
  <c r="S21" i="25"/>
  <c r="R21" i="25"/>
  <c r="Q21" i="25"/>
  <c r="P21" i="25"/>
  <c r="O21" i="25"/>
  <c r="M21" i="25"/>
  <c r="S20" i="25"/>
  <c r="R20" i="25"/>
  <c r="Q20" i="25"/>
  <c r="P20" i="25"/>
  <c r="O20" i="25"/>
  <c r="M20" i="25"/>
  <c r="S19" i="25"/>
  <c r="R19" i="25"/>
  <c r="Q19" i="25"/>
  <c r="P19" i="25"/>
  <c r="O19" i="25"/>
  <c r="M19" i="25"/>
  <c r="S97" i="22"/>
  <c r="S99" i="22" s="1"/>
  <c r="R97" i="22"/>
  <c r="R99" i="22" s="1"/>
  <c r="Q97" i="22"/>
  <c r="Q99" i="22" s="1"/>
  <c r="P97" i="22"/>
  <c r="P99" i="22" s="1"/>
  <c r="O97" i="22"/>
  <c r="S96" i="22"/>
  <c r="R96" i="22"/>
  <c r="Q96" i="22"/>
  <c r="P96" i="22"/>
  <c r="O96" i="22"/>
  <c r="O87" i="22"/>
  <c r="S73" i="22"/>
  <c r="R73" i="22"/>
  <c r="Q73" i="22"/>
  <c r="P73" i="22"/>
  <c r="O73" i="22"/>
  <c r="M73" i="22"/>
  <c r="S72" i="22"/>
  <c r="R72" i="22"/>
  <c r="Q72" i="22"/>
  <c r="P72" i="22"/>
  <c r="O72" i="22"/>
  <c r="M72" i="22"/>
  <c r="S71" i="22"/>
  <c r="R71" i="22"/>
  <c r="Q71" i="22"/>
  <c r="P71" i="22"/>
  <c r="O71" i="22"/>
  <c r="M71" i="22"/>
  <c r="S70" i="22"/>
  <c r="R70" i="22"/>
  <c r="Q70" i="22"/>
  <c r="P70" i="22"/>
  <c r="O70" i="22"/>
  <c r="M70" i="22"/>
  <c r="S69" i="22"/>
  <c r="R69" i="22"/>
  <c r="Q69" i="22"/>
  <c r="P69" i="22"/>
  <c r="O69" i="22"/>
  <c r="M69" i="22"/>
  <c r="F68" i="22"/>
  <c r="E68" i="22"/>
  <c r="S63" i="22"/>
  <c r="R63" i="22"/>
  <c r="Q63" i="22"/>
  <c r="P63" i="22"/>
  <c r="O63" i="22"/>
  <c r="M63" i="22"/>
  <c r="S62" i="22"/>
  <c r="R62" i="22"/>
  <c r="Q62" i="22"/>
  <c r="P62" i="22"/>
  <c r="O62" i="22"/>
  <c r="M62" i="22"/>
  <c r="S61" i="22"/>
  <c r="R61" i="22"/>
  <c r="Q61" i="22"/>
  <c r="P61" i="22"/>
  <c r="O61" i="22"/>
  <c r="M61" i="22"/>
  <c r="S60" i="22"/>
  <c r="R60" i="22"/>
  <c r="Q60" i="22"/>
  <c r="P60" i="22"/>
  <c r="O60" i="22"/>
  <c r="M60" i="22"/>
  <c r="S59" i="22"/>
  <c r="R59" i="22"/>
  <c r="Q59" i="22"/>
  <c r="P59" i="22"/>
  <c r="O59" i="22"/>
  <c r="M59" i="22"/>
  <c r="S58" i="22"/>
  <c r="R58" i="22"/>
  <c r="Q58" i="22"/>
  <c r="P58" i="22"/>
  <c r="O58" i="22"/>
  <c r="M58" i="22"/>
  <c r="S57" i="22"/>
  <c r="R57" i="22"/>
  <c r="Q57" i="22"/>
  <c r="P57" i="22"/>
  <c r="O57" i="22"/>
  <c r="M57" i="22"/>
  <c r="F56" i="22"/>
  <c r="E56" i="22"/>
  <c r="S12" i="22"/>
  <c r="R12" i="22"/>
  <c r="Q12" i="22"/>
  <c r="P12" i="22"/>
  <c r="O12" i="22"/>
  <c r="M12" i="22"/>
  <c r="S11" i="22"/>
  <c r="R11" i="22"/>
  <c r="Q11" i="22"/>
  <c r="P11" i="22"/>
  <c r="O11" i="22"/>
  <c r="M11" i="22"/>
  <c r="F2" i="22"/>
  <c r="E2" i="22"/>
  <c r="S51" i="22"/>
  <c r="R51" i="22"/>
  <c r="Q51" i="22"/>
  <c r="P51" i="22"/>
  <c r="O51" i="22"/>
  <c r="M51" i="22"/>
  <c r="S50" i="22"/>
  <c r="R50" i="22"/>
  <c r="Q50" i="22"/>
  <c r="P50" i="22"/>
  <c r="O50" i="22"/>
  <c r="M50" i="22"/>
  <c r="S49" i="22"/>
  <c r="R49" i="22"/>
  <c r="Q49" i="22"/>
  <c r="P49" i="22"/>
  <c r="O49" i="22"/>
  <c r="M49" i="22"/>
  <c r="S48" i="22"/>
  <c r="R48" i="22"/>
  <c r="Q48" i="22"/>
  <c r="P48" i="22"/>
  <c r="O48" i="22"/>
  <c r="M48" i="22"/>
  <c r="S47" i="22"/>
  <c r="R47" i="22"/>
  <c r="Q47" i="22"/>
  <c r="P47" i="22"/>
  <c r="O47" i="22"/>
  <c r="M47" i="22"/>
  <c r="S46" i="22"/>
  <c r="R46" i="22"/>
  <c r="Q46" i="22"/>
  <c r="P46" i="22"/>
  <c r="O46" i="22"/>
  <c r="M46" i="22"/>
  <c r="S45" i="22"/>
  <c r="R45" i="22"/>
  <c r="Q45" i="22"/>
  <c r="P45" i="22"/>
  <c r="O45" i="22"/>
  <c r="M45" i="22"/>
  <c r="S44" i="22"/>
  <c r="R44" i="22"/>
  <c r="Q44" i="22"/>
  <c r="P44" i="22"/>
  <c r="O44" i="22"/>
  <c r="M44" i="22"/>
  <c r="S43" i="22"/>
  <c r="R43" i="22"/>
  <c r="Q43" i="22"/>
  <c r="P43" i="22"/>
  <c r="O43" i="22"/>
  <c r="M43" i="22"/>
  <c r="S42" i="22"/>
  <c r="R42" i="22"/>
  <c r="Q42" i="22"/>
  <c r="P42" i="22"/>
  <c r="O42" i="22"/>
  <c r="M42" i="22"/>
  <c r="S41" i="22"/>
  <c r="R41" i="22"/>
  <c r="Q41" i="22"/>
  <c r="P41" i="22"/>
  <c r="O41" i="22"/>
  <c r="M41" i="22"/>
  <c r="S40" i="22"/>
  <c r="R40" i="22"/>
  <c r="Q40" i="22"/>
  <c r="P40" i="22"/>
  <c r="O40" i="22"/>
  <c r="M40" i="22"/>
  <c r="F39" i="22"/>
  <c r="E39" i="22"/>
  <c r="L34" i="22"/>
  <c r="S34" i="22" s="1"/>
  <c r="K34" i="22"/>
  <c r="R34" i="22" s="1"/>
  <c r="J34" i="22"/>
  <c r="Q34" i="22" s="1"/>
  <c r="I34" i="22"/>
  <c r="P34" i="22" s="1"/>
  <c r="H34" i="22"/>
  <c r="S33" i="22"/>
  <c r="R33" i="22"/>
  <c r="Q33" i="22"/>
  <c r="P33" i="22"/>
  <c r="O33" i="22"/>
  <c r="M33" i="22"/>
  <c r="S32" i="22"/>
  <c r="R32" i="22"/>
  <c r="Q32" i="22"/>
  <c r="P32" i="22"/>
  <c r="O32" i="22"/>
  <c r="M32" i="22"/>
  <c r="S31" i="22"/>
  <c r="R31" i="22"/>
  <c r="Q31" i="22"/>
  <c r="P31" i="22"/>
  <c r="O31" i="22"/>
  <c r="M31" i="22"/>
  <c r="S30" i="22"/>
  <c r="R30" i="22"/>
  <c r="Q30" i="22"/>
  <c r="P30" i="22"/>
  <c r="O30" i="22"/>
  <c r="M30" i="22"/>
  <c r="S29" i="22"/>
  <c r="R29" i="22"/>
  <c r="Q29" i="22"/>
  <c r="P29" i="22"/>
  <c r="O29" i="22"/>
  <c r="M29" i="22"/>
  <c r="S21" i="22"/>
  <c r="R21" i="22"/>
  <c r="Q21" i="22"/>
  <c r="P21" i="22"/>
  <c r="O21" i="22"/>
  <c r="M21" i="22"/>
  <c r="S20" i="22"/>
  <c r="R20" i="22"/>
  <c r="Q20" i="22"/>
  <c r="P20" i="22"/>
  <c r="O20" i="22"/>
  <c r="M20" i="22"/>
  <c r="S19" i="22"/>
  <c r="R19" i="22"/>
  <c r="Q19" i="22"/>
  <c r="P19" i="22"/>
  <c r="O19" i="22"/>
  <c r="M19" i="22"/>
  <c r="M32" i="28"/>
  <c r="M21" i="28"/>
  <c r="S98" i="28"/>
  <c r="S100" i="28" s="1"/>
  <c r="R98" i="28"/>
  <c r="R100" i="28" s="1"/>
  <c r="Q98" i="28"/>
  <c r="Q100" i="28" s="1"/>
  <c r="P98" i="28"/>
  <c r="P100" i="28" s="1"/>
  <c r="O98" i="28"/>
  <c r="S97" i="28"/>
  <c r="R97" i="28"/>
  <c r="Q97" i="28"/>
  <c r="P97" i="28"/>
  <c r="O97" i="28"/>
  <c r="O88" i="28"/>
  <c r="S74" i="28"/>
  <c r="R74" i="28"/>
  <c r="Q74" i="28"/>
  <c r="P74" i="28"/>
  <c r="O74" i="28"/>
  <c r="M74" i="28"/>
  <c r="S73" i="28"/>
  <c r="R73" i="28"/>
  <c r="Q73" i="28"/>
  <c r="P73" i="28"/>
  <c r="O73" i="28"/>
  <c r="M73" i="28"/>
  <c r="S72" i="28"/>
  <c r="R72" i="28"/>
  <c r="Q72" i="28"/>
  <c r="P72" i="28"/>
  <c r="O72" i="28"/>
  <c r="M72" i="28"/>
  <c r="S71" i="28"/>
  <c r="R71" i="28"/>
  <c r="Q71" i="28"/>
  <c r="P71" i="28"/>
  <c r="O71" i="28"/>
  <c r="M71" i="28"/>
  <c r="S70" i="28"/>
  <c r="R70" i="28"/>
  <c r="Q70" i="28"/>
  <c r="P70" i="28"/>
  <c r="O70" i="28"/>
  <c r="M70" i="28"/>
  <c r="F69" i="28"/>
  <c r="E69" i="28"/>
  <c r="S64" i="28"/>
  <c r="R64" i="28"/>
  <c r="Q64" i="28"/>
  <c r="P64" i="28"/>
  <c r="O64" i="28"/>
  <c r="M64" i="28"/>
  <c r="S63" i="28"/>
  <c r="R63" i="28"/>
  <c r="Q63" i="28"/>
  <c r="P63" i="28"/>
  <c r="O63" i="28"/>
  <c r="M63" i="28"/>
  <c r="S62" i="28"/>
  <c r="R62" i="28"/>
  <c r="Q62" i="28"/>
  <c r="P62" i="28"/>
  <c r="O62" i="28"/>
  <c r="M62" i="28"/>
  <c r="S61" i="28"/>
  <c r="R61" i="28"/>
  <c r="Q61" i="28"/>
  <c r="P61" i="28"/>
  <c r="O61" i="28"/>
  <c r="M61" i="28"/>
  <c r="S60" i="28"/>
  <c r="R60" i="28"/>
  <c r="Q60" i="28"/>
  <c r="P60" i="28"/>
  <c r="O60" i="28"/>
  <c r="M60" i="28"/>
  <c r="S59" i="28"/>
  <c r="R59" i="28"/>
  <c r="R66" i="28" s="1"/>
  <c r="Q59" i="28"/>
  <c r="Q66" i="28" s="1"/>
  <c r="P59" i="28"/>
  <c r="O59" i="28"/>
  <c r="M59" i="28"/>
  <c r="F57" i="28"/>
  <c r="E57" i="28"/>
  <c r="S14" i="28"/>
  <c r="R14" i="28"/>
  <c r="Q14" i="28"/>
  <c r="P14" i="28"/>
  <c r="O14" i="28"/>
  <c r="M14" i="28"/>
  <c r="S13" i="28"/>
  <c r="R13" i="28"/>
  <c r="Q13" i="28"/>
  <c r="P13" i="28"/>
  <c r="O13" i="28"/>
  <c r="M13" i="28"/>
  <c r="F4" i="28"/>
  <c r="E4" i="28"/>
  <c r="S52" i="28"/>
  <c r="R52" i="28"/>
  <c r="Q52" i="28"/>
  <c r="P52" i="28"/>
  <c r="O52" i="28"/>
  <c r="M52" i="28"/>
  <c r="S51" i="28"/>
  <c r="R51" i="28"/>
  <c r="Q51" i="28"/>
  <c r="P51" i="28"/>
  <c r="O51" i="28"/>
  <c r="M51" i="28"/>
  <c r="S50" i="28"/>
  <c r="R50" i="28"/>
  <c r="Q50" i="28"/>
  <c r="P50" i="28"/>
  <c r="O50" i="28"/>
  <c r="M50" i="28"/>
  <c r="S49" i="28"/>
  <c r="R49" i="28"/>
  <c r="Q49" i="28"/>
  <c r="P49" i="28"/>
  <c r="O49" i="28"/>
  <c r="M49" i="28"/>
  <c r="S48" i="28"/>
  <c r="R48" i="28"/>
  <c r="Q48" i="28"/>
  <c r="P48" i="28"/>
  <c r="O48" i="28"/>
  <c r="M48" i="28"/>
  <c r="S47" i="28"/>
  <c r="R47" i="28"/>
  <c r="Q47" i="28"/>
  <c r="P47" i="28"/>
  <c r="O47" i="28"/>
  <c r="M47" i="28"/>
  <c r="S46" i="28"/>
  <c r="R46" i="28"/>
  <c r="Q46" i="28"/>
  <c r="P46" i="28"/>
  <c r="O46" i="28"/>
  <c r="M46" i="28"/>
  <c r="S45" i="28"/>
  <c r="R45" i="28"/>
  <c r="Q45" i="28"/>
  <c r="P45" i="28"/>
  <c r="O45" i="28"/>
  <c r="M45" i="28"/>
  <c r="S44" i="28"/>
  <c r="R44" i="28"/>
  <c r="Q44" i="28"/>
  <c r="P44" i="28"/>
  <c r="O44" i="28"/>
  <c r="M44" i="28"/>
  <c r="S43" i="28"/>
  <c r="R43" i="28"/>
  <c r="Q43" i="28"/>
  <c r="P43" i="28"/>
  <c r="O43" i="28"/>
  <c r="M43" i="28"/>
  <c r="S42" i="28"/>
  <c r="R42" i="28"/>
  <c r="Q42" i="28"/>
  <c r="P42" i="28"/>
  <c r="O42" i="28"/>
  <c r="M42" i="28"/>
  <c r="S41" i="28"/>
  <c r="R41" i="28"/>
  <c r="Q41" i="28"/>
  <c r="P41" i="28"/>
  <c r="O41" i="28"/>
  <c r="M41" i="28"/>
  <c r="F40" i="28"/>
  <c r="E40" i="28"/>
  <c r="L35" i="28"/>
  <c r="S35" i="28" s="1"/>
  <c r="K35" i="28"/>
  <c r="R35" i="28" s="1"/>
  <c r="J35" i="28"/>
  <c r="Q35" i="28" s="1"/>
  <c r="I35" i="28"/>
  <c r="P35" i="28" s="1"/>
  <c r="H35" i="28"/>
  <c r="S34" i="28"/>
  <c r="R34" i="28"/>
  <c r="Q34" i="28"/>
  <c r="P34" i="28"/>
  <c r="O34" i="28"/>
  <c r="M34" i="28"/>
  <c r="S33" i="28"/>
  <c r="R33" i="28"/>
  <c r="Q33" i="28"/>
  <c r="P33" i="28"/>
  <c r="O33" i="28"/>
  <c r="M33" i="28"/>
  <c r="S32" i="28"/>
  <c r="R32" i="28"/>
  <c r="Q32" i="28"/>
  <c r="P32" i="28"/>
  <c r="O32" i="28"/>
  <c r="S31" i="28"/>
  <c r="R31" i="28"/>
  <c r="Q31" i="28"/>
  <c r="P31" i="28"/>
  <c r="O31" i="28"/>
  <c r="M31" i="28"/>
  <c r="S30" i="28"/>
  <c r="R30" i="28"/>
  <c r="Q30" i="28"/>
  <c r="P30" i="28"/>
  <c r="O30" i="28"/>
  <c r="M30" i="28"/>
  <c r="S21" i="28"/>
  <c r="R21" i="28"/>
  <c r="Q21" i="28"/>
  <c r="P21" i="28"/>
  <c r="O21" i="28"/>
  <c r="S20" i="28"/>
  <c r="R20" i="28"/>
  <c r="Q20" i="28"/>
  <c r="P20" i="28"/>
  <c r="O20" i="28"/>
  <c r="M20" i="28"/>
  <c r="S19" i="28"/>
  <c r="R19" i="28"/>
  <c r="Q19" i="28"/>
  <c r="P19" i="28"/>
  <c r="O19" i="28"/>
  <c r="M19" i="28"/>
  <c r="H23" i="32" l="1"/>
  <c r="K20" i="32"/>
  <c r="K23" i="32"/>
  <c r="K22" i="32"/>
  <c r="H27" i="32"/>
  <c r="I22" i="32"/>
  <c r="J27" i="32"/>
  <c r="K27" i="32"/>
  <c r="K8" i="32"/>
  <c r="K9" i="32"/>
  <c r="H8" i="32"/>
  <c r="I9" i="32"/>
  <c r="H9" i="32"/>
  <c r="I8" i="32"/>
  <c r="O66" i="28"/>
  <c r="S66" i="28"/>
  <c r="P66" i="28"/>
  <c r="K13" i="32"/>
  <c r="H21" i="32"/>
  <c r="H13" i="32"/>
  <c r="I21" i="32"/>
  <c r="H31" i="32"/>
  <c r="I12" i="32"/>
  <c r="K21" i="32"/>
  <c r="I31" i="32"/>
  <c r="W87" i="22"/>
  <c r="X15" i="18"/>
  <c r="X7" i="22"/>
  <c r="X6" i="22"/>
  <c r="K6" i="32" s="1"/>
  <c r="X9" i="22"/>
  <c r="X5" i="22"/>
  <c r="X4" i="22"/>
  <c r="X3" i="22"/>
  <c r="K10" i="32" s="1"/>
  <c r="X8" i="22"/>
  <c r="U6" i="22"/>
  <c r="H6" i="32" s="1"/>
  <c r="U9" i="22"/>
  <c r="U5" i="22"/>
  <c r="U4" i="22"/>
  <c r="U3" i="22"/>
  <c r="H10" i="32" s="1"/>
  <c r="U8" i="22"/>
  <c r="U7" i="22"/>
  <c r="V9" i="22"/>
  <c r="V5" i="22"/>
  <c r="V4" i="22"/>
  <c r="V8" i="22"/>
  <c r="V7" i="22"/>
  <c r="V6" i="22"/>
  <c r="I6" i="32" s="1"/>
  <c r="V3" i="22"/>
  <c r="I10" i="32" s="1"/>
  <c r="P36" i="22"/>
  <c r="X52" i="25"/>
  <c r="U14" i="25"/>
  <c r="W86" i="25"/>
  <c r="V86" i="25"/>
  <c r="V87" i="22"/>
  <c r="U86" i="25"/>
  <c r="T29" i="22"/>
  <c r="W29" i="22" s="1"/>
  <c r="P75" i="22"/>
  <c r="T96" i="25"/>
  <c r="X65" i="22"/>
  <c r="X75" i="22"/>
  <c r="X66" i="18"/>
  <c r="X77" i="18"/>
  <c r="X53" i="18"/>
  <c r="T68" i="25"/>
  <c r="W68" i="25" s="1"/>
  <c r="O65" i="22"/>
  <c r="S65" i="22"/>
  <c r="T58" i="22"/>
  <c r="W58" i="22" s="1"/>
  <c r="T63" i="22"/>
  <c r="V63" i="22" s="1"/>
  <c r="T69" i="22"/>
  <c r="W69" i="22" s="1"/>
  <c r="T96" i="22"/>
  <c r="T97" i="22"/>
  <c r="U53" i="18"/>
  <c r="U89" i="18"/>
  <c r="V89" i="18"/>
  <c r="V36" i="18"/>
  <c r="U77" i="18"/>
  <c r="V77" i="18"/>
  <c r="X36" i="18"/>
  <c r="U52" i="25"/>
  <c r="V14" i="25"/>
  <c r="X74" i="25"/>
  <c r="X14" i="25"/>
  <c r="U74" i="25"/>
  <c r="V74" i="25"/>
  <c r="X53" i="22"/>
  <c r="U75" i="22"/>
  <c r="U87" i="22"/>
  <c r="U53" i="22"/>
  <c r="V75" i="22"/>
  <c r="U64" i="25"/>
  <c r="X64" i="25"/>
  <c r="S74" i="25"/>
  <c r="U65" i="22"/>
  <c r="R36" i="22"/>
  <c r="T21" i="22"/>
  <c r="T30" i="22"/>
  <c r="T31" i="22"/>
  <c r="W31" i="22" s="1"/>
  <c r="M34" i="22"/>
  <c r="Q53" i="22"/>
  <c r="T48" i="22"/>
  <c r="P65" i="22"/>
  <c r="S36" i="22"/>
  <c r="T33" i="22"/>
  <c r="T44" i="22"/>
  <c r="W44" i="22" s="1"/>
  <c r="Q65" i="22"/>
  <c r="T59" i="22"/>
  <c r="T62" i="22"/>
  <c r="V62" i="22" s="1"/>
  <c r="S75" i="22"/>
  <c r="T73" i="22"/>
  <c r="W73" i="22" s="1"/>
  <c r="T20" i="22"/>
  <c r="X20" i="22" s="1"/>
  <c r="T32" i="22"/>
  <c r="W32" i="22" s="1"/>
  <c r="O53" i="22"/>
  <c r="T46" i="22"/>
  <c r="W46" i="22" s="1"/>
  <c r="T47" i="22"/>
  <c r="V47" i="22" s="1"/>
  <c r="T51" i="22"/>
  <c r="W51" i="22" s="1"/>
  <c r="R65" i="22"/>
  <c r="U76" i="28"/>
  <c r="X37" i="28"/>
  <c r="V37" i="28"/>
  <c r="U88" i="28"/>
  <c r="T42" i="28"/>
  <c r="W42" i="28" s="1"/>
  <c r="X54" i="28"/>
  <c r="V76" i="28"/>
  <c r="V88" i="28"/>
  <c r="T19" i="28"/>
  <c r="X76" i="28"/>
  <c r="U54" i="28"/>
  <c r="M35" i="28"/>
  <c r="Q54" i="28"/>
  <c r="T43" i="25"/>
  <c r="W43" i="25" s="1"/>
  <c r="P52" i="25"/>
  <c r="T42" i="25"/>
  <c r="W42" i="25" s="1"/>
  <c r="T58" i="25"/>
  <c r="T72" i="25"/>
  <c r="W72" i="25" s="1"/>
  <c r="O98" i="25"/>
  <c r="O101" i="25" s="1"/>
  <c r="S36" i="25"/>
  <c r="R52" i="25"/>
  <c r="T44" i="25"/>
  <c r="W44" i="25" s="1"/>
  <c r="T6" i="25"/>
  <c r="W6" i="25" s="1"/>
  <c r="T62" i="25"/>
  <c r="V62" i="25" s="1"/>
  <c r="Q52" i="25"/>
  <c r="T47" i="25"/>
  <c r="V47" i="25" s="1"/>
  <c r="R64" i="25"/>
  <c r="P74" i="25"/>
  <c r="O36" i="25"/>
  <c r="P64" i="25"/>
  <c r="T95" i="25"/>
  <c r="T30" i="25"/>
  <c r="W30" i="25" s="1"/>
  <c r="T34" i="25"/>
  <c r="U34" i="25" s="1"/>
  <c r="T20" i="25"/>
  <c r="X20" i="25" s="1"/>
  <c r="T21" i="25"/>
  <c r="T32" i="25"/>
  <c r="W32" i="25" s="1"/>
  <c r="Q36" i="25"/>
  <c r="T41" i="25"/>
  <c r="W41" i="25" s="1"/>
  <c r="T45" i="25"/>
  <c r="T7" i="25"/>
  <c r="W7" i="25" s="1"/>
  <c r="O64" i="25"/>
  <c r="T56" i="25"/>
  <c r="W56" i="25" s="1"/>
  <c r="S64" i="25"/>
  <c r="T57" i="25"/>
  <c r="W57" i="25" s="1"/>
  <c r="T59" i="25"/>
  <c r="W59" i="25" s="1"/>
  <c r="T60" i="25"/>
  <c r="T61" i="25"/>
  <c r="V61" i="25" s="1"/>
  <c r="T70" i="25"/>
  <c r="W70" i="25" s="1"/>
  <c r="T31" i="25"/>
  <c r="W31" i="25" s="1"/>
  <c r="P36" i="25"/>
  <c r="T40" i="25"/>
  <c r="W40" i="25" s="1"/>
  <c r="T46" i="25"/>
  <c r="W46" i="25" s="1"/>
  <c r="T29" i="25"/>
  <c r="W29" i="25" s="1"/>
  <c r="T33" i="25"/>
  <c r="W33" i="25" s="1"/>
  <c r="M34" i="25"/>
  <c r="R36" i="25"/>
  <c r="T69" i="25"/>
  <c r="W69" i="25" s="1"/>
  <c r="T12" i="25"/>
  <c r="W12" i="25" s="1"/>
  <c r="T19" i="25"/>
  <c r="W19" i="25" s="1"/>
  <c r="O52" i="25"/>
  <c r="S52" i="25"/>
  <c r="T48" i="25"/>
  <c r="T49" i="25"/>
  <c r="W49" i="25" s="1"/>
  <c r="T50" i="25"/>
  <c r="W50" i="25" s="1"/>
  <c r="T3" i="25"/>
  <c r="W3" i="25" s="1"/>
  <c r="Q64" i="25"/>
  <c r="Q74" i="25"/>
  <c r="R74" i="25"/>
  <c r="T71" i="25"/>
  <c r="W71" i="25" s="1"/>
  <c r="O74" i="25"/>
  <c r="T19" i="22"/>
  <c r="O34" i="22"/>
  <c r="O36" i="22" s="1"/>
  <c r="S53" i="22"/>
  <c r="T41" i="22"/>
  <c r="W41" i="22" s="1"/>
  <c r="T42" i="22"/>
  <c r="W42" i="22" s="1"/>
  <c r="P53" i="22"/>
  <c r="T40" i="22"/>
  <c r="W40" i="22" s="1"/>
  <c r="Q36" i="22"/>
  <c r="T43" i="22"/>
  <c r="W43" i="22" s="1"/>
  <c r="R53" i="22"/>
  <c r="T45" i="22"/>
  <c r="T49" i="22"/>
  <c r="V49" i="22" s="1"/>
  <c r="T11" i="22"/>
  <c r="W11" i="22" s="1"/>
  <c r="T60" i="22"/>
  <c r="W60" i="22" s="1"/>
  <c r="T70" i="22"/>
  <c r="W70" i="22" s="1"/>
  <c r="Q75" i="22"/>
  <c r="O99" i="22"/>
  <c r="T99" i="22" s="1"/>
  <c r="T50" i="22"/>
  <c r="W50" i="22" s="1"/>
  <c r="T12" i="22"/>
  <c r="W12" i="22" s="1"/>
  <c r="T57" i="22"/>
  <c r="W57" i="22" s="1"/>
  <c r="T61" i="22"/>
  <c r="T71" i="22"/>
  <c r="W71" i="22" s="1"/>
  <c r="R75" i="22"/>
  <c r="T72" i="22"/>
  <c r="W72" i="22" s="1"/>
  <c r="O75" i="22"/>
  <c r="O102" i="22"/>
  <c r="Q76" i="28"/>
  <c r="T59" i="28"/>
  <c r="W59" i="28" s="1"/>
  <c r="T33" i="28"/>
  <c r="W33" i="28" s="1"/>
  <c r="T43" i="28"/>
  <c r="W43" i="28" s="1"/>
  <c r="R76" i="28"/>
  <c r="T97" i="28"/>
  <c r="Q37" i="28"/>
  <c r="T20" i="28"/>
  <c r="O54" i="28"/>
  <c r="S54" i="28"/>
  <c r="T50" i="28"/>
  <c r="V50" i="28" s="1"/>
  <c r="T51" i="28"/>
  <c r="W51" i="28" s="1"/>
  <c r="T14" i="28"/>
  <c r="W14" i="28" s="1"/>
  <c r="T62" i="28"/>
  <c r="W62" i="28" s="1"/>
  <c r="T98" i="28"/>
  <c r="P37" i="28"/>
  <c r="T34" i="28"/>
  <c r="W34" i="28" s="1"/>
  <c r="R54" i="28"/>
  <c r="R37" i="28"/>
  <c r="T21" i="28"/>
  <c r="W21" i="28" s="1"/>
  <c r="T30" i="28"/>
  <c r="W30" i="28" s="1"/>
  <c r="T32" i="28"/>
  <c r="W32" i="28" s="1"/>
  <c r="T63" i="28"/>
  <c r="V63" i="28" s="1"/>
  <c r="T72" i="28"/>
  <c r="W72" i="28" s="1"/>
  <c r="S37" i="28"/>
  <c r="T31" i="28"/>
  <c r="O35" i="28"/>
  <c r="T44" i="28"/>
  <c r="W44" i="28" s="1"/>
  <c r="T47" i="28"/>
  <c r="W47" i="28" s="1"/>
  <c r="P54" i="28"/>
  <c r="T41" i="28"/>
  <c r="W41" i="28" s="1"/>
  <c r="T45" i="28"/>
  <c r="W45" i="28" s="1"/>
  <c r="T46" i="28"/>
  <c r="T48" i="28"/>
  <c r="V48" i="28" s="1"/>
  <c r="T73" i="28"/>
  <c r="W73" i="28" s="1"/>
  <c r="O76" i="28"/>
  <c r="S76" i="28"/>
  <c r="O100" i="28"/>
  <c r="T100" i="28" s="1"/>
  <c r="T52" i="28"/>
  <c r="W52" i="28" s="1"/>
  <c r="T60" i="28"/>
  <c r="T64" i="28"/>
  <c r="V64" i="28" s="1"/>
  <c r="T70" i="28"/>
  <c r="W70" i="28" s="1"/>
  <c r="T74" i="28"/>
  <c r="W74" i="28" s="1"/>
  <c r="P76" i="28"/>
  <c r="T49" i="28"/>
  <c r="T13" i="28"/>
  <c r="W13" i="28" s="1"/>
  <c r="T61" i="28"/>
  <c r="T71" i="28"/>
  <c r="W71" i="28" s="1"/>
  <c r="X60" i="27"/>
  <c r="X48" i="27"/>
  <c r="X36" i="27"/>
  <c r="X19" i="27"/>
  <c r="H59" i="27"/>
  <c r="H47" i="27"/>
  <c r="H35" i="27"/>
  <c r="H18" i="27"/>
  <c r="X4" i="27"/>
  <c r="N17" i="26"/>
  <c r="O17" i="26"/>
  <c r="P17" i="26"/>
  <c r="Q17" i="26"/>
  <c r="R17" i="26"/>
  <c r="S17" i="26"/>
  <c r="T17" i="26"/>
  <c r="U17" i="26"/>
  <c r="V17" i="26"/>
  <c r="W17" i="26"/>
  <c r="X17" i="26"/>
  <c r="Y17" i="26"/>
  <c r="Z17" i="26"/>
  <c r="AA17" i="26"/>
  <c r="AB17" i="26"/>
  <c r="AC17" i="26"/>
  <c r="AD17" i="26"/>
  <c r="AE17" i="26"/>
  <c r="AF17" i="26"/>
  <c r="AG17" i="26"/>
  <c r="AH17" i="26"/>
  <c r="AI17" i="26"/>
  <c r="AJ17" i="26"/>
  <c r="AK17" i="26"/>
  <c r="F4" i="27"/>
  <c r="F5" i="27"/>
  <c r="F6" i="27"/>
  <c r="F7" i="27"/>
  <c r="F8" i="27"/>
  <c r="F9" i="27"/>
  <c r="F10" i="27"/>
  <c r="F11" i="27"/>
  <c r="F12" i="27"/>
  <c r="F13" i="27"/>
  <c r="F59" i="27"/>
  <c r="E59" i="27"/>
  <c r="F47" i="27"/>
  <c r="E47" i="27"/>
  <c r="F35" i="27"/>
  <c r="E35" i="27"/>
  <c r="F18" i="27"/>
  <c r="E18" i="27"/>
  <c r="K7" i="32" l="1"/>
  <c r="W61" i="28"/>
  <c r="U61" i="28"/>
  <c r="U66" i="28" s="1"/>
  <c r="I11" i="32"/>
  <c r="K11" i="32"/>
  <c r="I7" i="32"/>
  <c r="H11" i="32"/>
  <c r="J10" i="32"/>
  <c r="J6" i="32"/>
  <c r="K12" i="32"/>
  <c r="J7" i="32"/>
  <c r="H7" i="32"/>
  <c r="V66" i="28"/>
  <c r="W66" i="28"/>
  <c r="X14" i="22"/>
  <c r="T5" i="22"/>
  <c r="W5" i="22" s="1"/>
  <c r="U14" i="22"/>
  <c r="V15" i="18"/>
  <c r="U15" i="18"/>
  <c r="T6" i="28"/>
  <c r="W6" i="28" s="1"/>
  <c r="O14" i="22"/>
  <c r="T4" i="22"/>
  <c r="W4" i="22" s="1"/>
  <c r="V14" i="22"/>
  <c r="V61" i="22"/>
  <c r="I23" i="32" s="1"/>
  <c r="W61" i="22"/>
  <c r="W65" i="22" s="1"/>
  <c r="V60" i="25"/>
  <c r="V64" i="25" s="1"/>
  <c r="W60" i="25"/>
  <c r="W64" i="25" s="1"/>
  <c r="V36" i="25"/>
  <c r="V36" i="22"/>
  <c r="X36" i="25"/>
  <c r="X36" i="22"/>
  <c r="X80" i="22" s="1"/>
  <c r="E16" i="26"/>
  <c r="E18" i="26" s="1"/>
  <c r="G12" i="26"/>
  <c r="T65" i="22"/>
  <c r="G11" i="26"/>
  <c r="D12" i="26"/>
  <c r="E12" i="26"/>
  <c r="D8" i="26"/>
  <c r="G8" i="26"/>
  <c r="D16" i="26"/>
  <c r="D18" i="26" s="1"/>
  <c r="W53" i="22"/>
  <c r="T98" i="25"/>
  <c r="W21" i="25"/>
  <c r="U21" i="25"/>
  <c r="U36" i="25" s="1"/>
  <c r="U79" i="25" s="1"/>
  <c r="U90" i="25" s="1"/>
  <c r="W33" i="22"/>
  <c r="U33" i="22"/>
  <c r="O37" i="28"/>
  <c r="T35" i="28"/>
  <c r="U35" i="28" s="1"/>
  <c r="U37" i="28" s="1"/>
  <c r="X82" i="18"/>
  <c r="O103" i="28"/>
  <c r="V54" i="28"/>
  <c r="W37" i="28"/>
  <c r="W21" i="22"/>
  <c r="U21" i="22"/>
  <c r="W74" i="25"/>
  <c r="W52" i="25"/>
  <c r="V52" i="25"/>
  <c r="V53" i="22"/>
  <c r="W75" i="22"/>
  <c r="W54" i="28"/>
  <c r="W76" i="28"/>
  <c r="T36" i="25"/>
  <c r="T74" i="25"/>
  <c r="T52" i="25"/>
  <c r="T64" i="25"/>
  <c r="T36" i="22"/>
  <c r="T75" i="22"/>
  <c r="T53" i="22"/>
  <c r="T34" i="22"/>
  <c r="U34" i="22" s="1"/>
  <c r="T54" i="28"/>
  <c r="T66" i="28"/>
  <c r="T76" i="28"/>
  <c r="E69" i="18"/>
  <c r="F69" i="18"/>
  <c r="E57" i="18"/>
  <c r="F57" i="18"/>
  <c r="E3" i="18"/>
  <c r="F3" i="18"/>
  <c r="E39" i="18"/>
  <c r="F39" i="18"/>
  <c r="V65" i="22" l="1"/>
  <c r="K37" i="32"/>
  <c r="T7" i="28"/>
  <c r="W7" i="28" s="1"/>
  <c r="O16" i="28"/>
  <c r="G7" i="26"/>
  <c r="F39" i="26"/>
  <c r="E7" i="26"/>
  <c r="G39" i="26"/>
  <c r="X79" i="25"/>
  <c r="V79" i="25"/>
  <c r="V90" i="25" s="1"/>
  <c r="Q16" i="28"/>
  <c r="Q81" i="28" s="1"/>
  <c r="S16" i="28"/>
  <c r="V80" i="22"/>
  <c r="V91" i="22" s="1"/>
  <c r="G30" i="26"/>
  <c r="E39" i="26"/>
  <c r="T37" i="28"/>
  <c r="U36" i="22"/>
  <c r="P86" i="25"/>
  <c r="P101" i="25" s="1"/>
  <c r="T5" i="25"/>
  <c r="W5" i="25" s="1"/>
  <c r="R14" i="25"/>
  <c r="R79" i="25" s="1"/>
  <c r="T4" i="25"/>
  <c r="W4" i="25" s="1"/>
  <c r="S14" i="25"/>
  <c r="S79" i="25" s="1"/>
  <c r="Q14" i="25"/>
  <c r="Q79" i="25" s="1"/>
  <c r="P14" i="25"/>
  <c r="P79" i="25" s="1"/>
  <c r="Q86" i="25"/>
  <c r="O14" i="25"/>
  <c r="R14" i="22"/>
  <c r="P87" i="22"/>
  <c r="S14" i="22"/>
  <c r="Q14" i="22"/>
  <c r="Q80" i="22" s="1"/>
  <c r="P14" i="22"/>
  <c r="R16" i="28"/>
  <c r="R81" i="28" s="1"/>
  <c r="P16" i="28"/>
  <c r="P81" i="28" s="1"/>
  <c r="K38" i="32" l="1"/>
  <c r="J38" i="32"/>
  <c r="S81" i="28"/>
  <c r="P80" i="22"/>
  <c r="P91" i="22" s="1"/>
  <c r="U80" i="22"/>
  <c r="U91" i="22" s="1"/>
  <c r="S80" i="22"/>
  <c r="R80" i="22"/>
  <c r="T16" i="28"/>
  <c r="E37" i="26" s="1"/>
  <c r="P88" i="28"/>
  <c r="P103" i="28" s="1"/>
  <c r="P90" i="25"/>
  <c r="W14" i="22"/>
  <c r="W14" i="25"/>
  <c r="T83" i="25"/>
  <c r="X83" i="25" s="1"/>
  <c r="Q90" i="25"/>
  <c r="Q101" i="25"/>
  <c r="T14" i="25"/>
  <c r="G37" i="26" s="1"/>
  <c r="O79" i="25"/>
  <c r="R86" i="25"/>
  <c r="Q87" i="22"/>
  <c r="P102" i="22"/>
  <c r="T14" i="22"/>
  <c r="F37" i="26" s="1"/>
  <c r="O80" i="22"/>
  <c r="Q88" i="28"/>
  <c r="J37" i="32" l="1"/>
  <c r="P92" i="28"/>
  <c r="W36" i="25"/>
  <c r="W79" i="25" s="1"/>
  <c r="W90" i="25" s="1"/>
  <c r="W36" i="22"/>
  <c r="W80" i="22" s="1"/>
  <c r="W91" i="22" s="1"/>
  <c r="O81" i="28"/>
  <c r="T81" i="28" s="1"/>
  <c r="T85" i="22"/>
  <c r="X85" i="22" s="1"/>
  <c r="R90" i="25"/>
  <c r="R101" i="25"/>
  <c r="T79" i="25"/>
  <c r="O90" i="25"/>
  <c r="R87" i="22"/>
  <c r="Q91" i="22"/>
  <c r="Q102" i="22"/>
  <c r="T80" i="22"/>
  <c r="O91" i="22"/>
  <c r="Q92" i="28"/>
  <c r="Q103" i="28"/>
  <c r="T86" i="28"/>
  <c r="R88" i="28"/>
  <c r="X86" i="28" l="1"/>
  <c r="W86" i="28"/>
  <c r="K39" i="32"/>
  <c r="J39" i="32"/>
  <c r="O92" i="28"/>
  <c r="T84" i="25"/>
  <c r="X84" i="25" s="1"/>
  <c r="S86" i="25"/>
  <c r="T86" i="25" s="1"/>
  <c r="S87" i="22"/>
  <c r="T84" i="22"/>
  <c r="X84" i="22" s="1"/>
  <c r="X87" i="22" s="1"/>
  <c r="R91" i="22"/>
  <c r="R102" i="22"/>
  <c r="S88" i="28"/>
  <c r="T85" i="28"/>
  <c r="X85" i="28" s="1"/>
  <c r="R92" i="28"/>
  <c r="R103" i="28"/>
  <c r="M75" i="18"/>
  <c r="M13" i="18"/>
  <c r="M19" i="18"/>
  <c r="K31" i="32" l="1"/>
  <c r="W88" i="28"/>
  <c r="X86" i="25"/>
  <c r="X90" i="25" s="1"/>
  <c r="K40" i="32" s="1"/>
  <c r="K41" i="32" s="1"/>
  <c r="X88" i="28"/>
  <c r="T90" i="25"/>
  <c r="G38" i="26"/>
  <c r="T87" i="22"/>
  <c r="X91" i="22"/>
  <c r="S90" i="25"/>
  <c r="S101" i="25"/>
  <c r="T101" i="25" s="1"/>
  <c r="S91" i="22"/>
  <c r="S102" i="22"/>
  <c r="T102" i="22" s="1"/>
  <c r="S92" i="28"/>
  <c r="S103" i="28"/>
  <c r="T103" i="28" s="1"/>
  <c r="T88" i="28"/>
  <c r="S41" i="18"/>
  <c r="S42" i="18"/>
  <c r="S43" i="18"/>
  <c r="S44" i="18"/>
  <c r="S45" i="18"/>
  <c r="S46" i="18"/>
  <c r="S47" i="18"/>
  <c r="S48" i="18"/>
  <c r="S49" i="18"/>
  <c r="S50" i="18"/>
  <c r="S51" i="18"/>
  <c r="S40" i="18"/>
  <c r="R51" i="18"/>
  <c r="R50" i="18"/>
  <c r="R49" i="18"/>
  <c r="R48" i="18"/>
  <c r="R47" i="18"/>
  <c r="R46" i="18"/>
  <c r="R45" i="18"/>
  <c r="R44" i="18"/>
  <c r="R43" i="18"/>
  <c r="R42" i="18"/>
  <c r="R41" i="18"/>
  <c r="Q51" i="18"/>
  <c r="Q50" i="18"/>
  <c r="Q49" i="18"/>
  <c r="Q48" i="18"/>
  <c r="Q47" i="18"/>
  <c r="Q46" i="18"/>
  <c r="Q45" i="18"/>
  <c r="Q44" i="18"/>
  <c r="Q43" i="18"/>
  <c r="Q42" i="18"/>
  <c r="Q41" i="18"/>
  <c r="P51" i="18"/>
  <c r="P50" i="18"/>
  <c r="P49" i="18"/>
  <c r="P48" i="18"/>
  <c r="P47" i="18"/>
  <c r="P46" i="18"/>
  <c r="P45" i="18"/>
  <c r="P44" i="18"/>
  <c r="P43" i="18"/>
  <c r="P42" i="18"/>
  <c r="P41" i="18"/>
  <c r="O51" i="18"/>
  <c r="O41" i="18"/>
  <c r="O42" i="18"/>
  <c r="O43" i="18"/>
  <c r="O44" i="18"/>
  <c r="O45" i="18"/>
  <c r="O46" i="18"/>
  <c r="O47" i="18"/>
  <c r="O48" i="18"/>
  <c r="O49" i="18"/>
  <c r="O50" i="18"/>
  <c r="S19" i="18"/>
  <c r="S21" i="18"/>
  <c r="S29" i="18"/>
  <c r="S30" i="18"/>
  <c r="S31" i="18"/>
  <c r="S32" i="18"/>
  <c r="S33" i="18"/>
  <c r="R19" i="18"/>
  <c r="R21" i="18"/>
  <c r="R29" i="18"/>
  <c r="R30" i="18"/>
  <c r="R31" i="18"/>
  <c r="R32" i="18"/>
  <c r="R33" i="18"/>
  <c r="Q19" i="18"/>
  <c r="Q20" i="18"/>
  <c r="Q21" i="18"/>
  <c r="Q29" i="18"/>
  <c r="Q30" i="18"/>
  <c r="Q31" i="18"/>
  <c r="Q32" i="18"/>
  <c r="Q33" i="18"/>
  <c r="P19" i="18"/>
  <c r="P21" i="18"/>
  <c r="P29" i="18"/>
  <c r="P30" i="18"/>
  <c r="P31" i="18"/>
  <c r="P32" i="18"/>
  <c r="P33" i="18"/>
  <c r="O19" i="18"/>
  <c r="O21" i="18"/>
  <c r="O29" i="18"/>
  <c r="O30" i="18"/>
  <c r="O31" i="18"/>
  <c r="O32" i="18"/>
  <c r="O33" i="18"/>
  <c r="P34" i="18"/>
  <c r="J34" i="18"/>
  <c r="Q34" i="18" s="1"/>
  <c r="K34" i="18"/>
  <c r="R34" i="18" s="1"/>
  <c r="L34" i="18"/>
  <c r="S34" i="18" s="1"/>
  <c r="H34" i="18"/>
  <c r="O34" i="18" s="1"/>
  <c r="P20" i="18"/>
  <c r="K20" i="18"/>
  <c r="R20" i="18" s="1"/>
  <c r="L20" i="18"/>
  <c r="S20" i="18" s="1"/>
  <c r="O20" i="18"/>
  <c r="M71" i="18"/>
  <c r="M72" i="18"/>
  <c r="M74" i="18"/>
  <c r="M70" i="18"/>
  <c r="M64" i="18"/>
  <c r="K36" i="32" l="1"/>
  <c r="J40" i="32"/>
  <c r="J41" i="32" s="1"/>
  <c r="T91" i="22"/>
  <c r="F38" i="26"/>
  <c r="T92" i="28"/>
  <c r="E38" i="26"/>
  <c r="E41" i="26" s="1"/>
  <c r="T19" i="18"/>
  <c r="U19" i="18" s="1"/>
  <c r="T33" i="18"/>
  <c r="W33" i="18" s="1"/>
  <c r="T30" i="18"/>
  <c r="W30" i="18" s="1"/>
  <c r="T34" i="18"/>
  <c r="U34" i="18" s="1"/>
  <c r="T47" i="18"/>
  <c r="V47" i="18" s="1"/>
  <c r="T43" i="18"/>
  <c r="W43" i="18" s="1"/>
  <c r="T50" i="18"/>
  <c r="W50" i="18" s="1"/>
  <c r="J20" i="32" s="1"/>
  <c r="T46" i="18"/>
  <c r="W46" i="18" s="1"/>
  <c r="T42" i="18"/>
  <c r="W42" i="18" s="1"/>
  <c r="T49" i="18"/>
  <c r="V49" i="18" s="1"/>
  <c r="T45" i="18"/>
  <c r="T41" i="18"/>
  <c r="W41" i="18" s="1"/>
  <c r="T21" i="18"/>
  <c r="W21" i="18" s="1"/>
  <c r="T48" i="18"/>
  <c r="T44" i="18"/>
  <c r="W44" i="18" s="1"/>
  <c r="T32" i="18"/>
  <c r="W32" i="18" s="1"/>
  <c r="T31" i="18"/>
  <c r="W31" i="18" s="1"/>
  <c r="T51" i="18"/>
  <c r="W51" i="18" s="1"/>
  <c r="T29" i="18"/>
  <c r="W29" i="18" s="1"/>
  <c r="T20" i="18"/>
  <c r="J12" i="32" l="1"/>
  <c r="H12" i="32"/>
  <c r="J36" i="32"/>
  <c r="I36" i="32"/>
  <c r="I13" i="32"/>
  <c r="W36" i="18"/>
  <c r="F7" i="26" s="1"/>
  <c r="V53" i="18"/>
  <c r="U36" i="18"/>
  <c r="D7" i="26" s="1"/>
  <c r="D29" i="26" s="1"/>
  <c r="P99" i="18"/>
  <c r="P101" i="18" s="1"/>
  <c r="I17" i="26" s="1"/>
  <c r="Q99" i="18"/>
  <c r="Q101" i="18" s="1"/>
  <c r="J17" i="26" s="1"/>
  <c r="R99" i="18"/>
  <c r="R101" i="18" s="1"/>
  <c r="K17" i="26" s="1"/>
  <c r="S99" i="18"/>
  <c r="S101" i="18" s="1"/>
  <c r="L17" i="26" s="1"/>
  <c r="O99" i="18"/>
  <c r="P98" i="18"/>
  <c r="Q98" i="18"/>
  <c r="R98" i="18"/>
  <c r="S98" i="18"/>
  <c r="O98" i="18"/>
  <c r="M87" i="18"/>
  <c r="M86" i="18"/>
  <c r="E8" i="26" l="1"/>
  <c r="E29" i="26" s="1"/>
  <c r="T98" i="18"/>
  <c r="T99" i="18"/>
  <c r="O101" i="18"/>
  <c r="H17" i="26" s="1"/>
  <c r="C17" i="26" s="1"/>
  <c r="O89" i="18"/>
  <c r="H16" i="26" s="1"/>
  <c r="T101" i="18" l="1"/>
  <c r="M17" i="26" s="1"/>
  <c r="O104" i="18"/>
  <c r="M63" i="18"/>
  <c r="M62" i="18"/>
  <c r="M58" i="18"/>
  <c r="M61" i="18"/>
  <c r="M60" i="18"/>
  <c r="M41" i="18"/>
  <c r="M42" i="18"/>
  <c r="M43" i="18"/>
  <c r="M44" i="18"/>
  <c r="M45" i="18"/>
  <c r="M46" i="18"/>
  <c r="M47" i="18"/>
  <c r="M48" i="18"/>
  <c r="M49" i="18"/>
  <c r="M50" i="18"/>
  <c r="M51" i="18"/>
  <c r="M40" i="18"/>
  <c r="S58" i="18"/>
  <c r="R58" i="18"/>
  <c r="Q58" i="18"/>
  <c r="P58" i="18"/>
  <c r="O58" i="18"/>
  <c r="S64" i="18"/>
  <c r="R64" i="18"/>
  <c r="Q64" i="18"/>
  <c r="P64" i="18"/>
  <c r="O64" i="18"/>
  <c r="S63" i="18"/>
  <c r="R63" i="18"/>
  <c r="Q63" i="18"/>
  <c r="P63" i="18"/>
  <c r="O63" i="18"/>
  <c r="S62" i="18"/>
  <c r="R62" i="18"/>
  <c r="Q62" i="18"/>
  <c r="P62" i="18"/>
  <c r="O62" i="18"/>
  <c r="S61" i="18"/>
  <c r="R61" i="18"/>
  <c r="Q61" i="18"/>
  <c r="P61" i="18"/>
  <c r="O61" i="18"/>
  <c r="S60" i="18"/>
  <c r="R60" i="18"/>
  <c r="Q60" i="18"/>
  <c r="P60" i="18"/>
  <c r="O60" i="18"/>
  <c r="H18" i="26" l="1"/>
  <c r="H19" i="26" s="1"/>
  <c r="T58" i="18"/>
  <c r="W58" i="18" s="1"/>
  <c r="Q66" i="18"/>
  <c r="J11" i="26" s="1"/>
  <c r="R66" i="18"/>
  <c r="K11" i="26" s="1"/>
  <c r="O66" i="18"/>
  <c r="H11" i="26" s="1"/>
  <c r="S66" i="18"/>
  <c r="L11" i="26" s="1"/>
  <c r="T60" i="18"/>
  <c r="T61" i="18"/>
  <c r="U61" i="18" s="1"/>
  <c r="H22" i="32" s="1"/>
  <c r="T62" i="18"/>
  <c r="W62" i="18" s="1"/>
  <c r="T63" i="18"/>
  <c r="V63" i="18" s="1"/>
  <c r="I27" i="32" s="1"/>
  <c r="T64" i="18"/>
  <c r="V64" i="18" s="1"/>
  <c r="P66" i="18"/>
  <c r="I11" i="26" s="1"/>
  <c r="U66" i="18" l="1"/>
  <c r="H32" i="32"/>
  <c r="I32" i="32"/>
  <c r="V66" i="18"/>
  <c r="E11" i="26" s="1"/>
  <c r="W66" i="18"/>
  <c r="F11" i="26" s="1"/>
  <c r="C11" i="26"/>
  <c r="T66" i="18"/>
  <c r="S70" i="18"/>
  <c r="S71" i="18"/>
  <c r="S72" i="18"/>
  <c r="S74" i="18"/>
  <c r="S75" i="18"/>
  <c r="S12" i="18"/>
  <c r="S13" i="18"/>
  <c r="M12" i="18"/>
  <c r="S18" i="18"/>
  <c r="R18" i="18"/>
  <c r="D11" i="26" l="1"/>
  <c r="D30" i="26" s="1"/>
  <c r="U82" i="18"/>
  <c r="U93" i="18" s="1"/>
  <c r="H37" i="32" s="1"/>
  <c r="V82" i="18"/>
  <c r="V93" i="18" s="1"/>
  <c r="S77" i="18"/>
  <c r="S53" i="18"/>
  <c r="S36" i="18"/>
  <c r="S32" i="29" s="1"/>
  <c r="S85" i="29" s="1"/>
  <c r="H38" i="32" l="1"/>
  <c r="L8" i="26"/>
  <c r="L7" i="26"/>
  <c r="L12" i="26"/>
  <c r="L30" i="26" s="1"/>
  <c r="E30" i="26"/>
  <c r="L10" i="26" l="1"/>
  <c r="S96" i="29"/>
  <c r="S15" i="18"/>
  <c r="L9" i="26" s="1"/>
  <c r="M20" i="18"/>
  <c r="M21" i="18"/>
  <c r="M29" i="18"/>
  <c r="M30" i="18"/>
  <c r="M31" i="18"/>
  <c r="M32" i="18"/>
  <c r="M33" i="18"/>
  <c r="M34" i="18"/>
  <c r="M18" i="18"/>
  <c r="P18" i="18"/>
  <c r="Q18" i="18"/>
  <c r="O18" i="18"/>
  <c r="O40" i="18"/>
  <c r="O71" i="18"/>
  <c r="P71" i="18"/>
  <c r="Q71" i="18"/>
  <c r="R71" i="18"/>
  <c r="O72" i="18"/>
  <c r="P72" i="18"/>
  <c r="Q72" i="18"/>
  <c r="R72" i="18"/>
  <c r="O74" i="18"/>
  <c r="P74" i="18"/>
  <c r="Q74" i="18"/>
  <c r="R74" i="18"/>
  <c r="O75" i="18"/>
  <c r="P75" i="18"/>
  <c r="Q75" i="18"/>
  <c r="R75" i="18"/>
  <c r="P70" i="18"/>
  <c r="Q70" i="18"/>
  <c r="R70" i="18"/>
  <c r="O70" i="18"/>
  <c r="O13" i="18"/>
  <c r="P13" i="18"/>
  <c r="Q13" i="18"/>
  <c r="R13" i="18"/>
  <c r="P12" i="18"/>
  <c r="Q12" i="18"/>
  <c r="R12" i="18"/>
  <c r="O12" i="18"/>
  <c r="P40" i="18"/>
  <c r="Q40" i="18"/>
  <c r="R40" i="18"/>
  <c r="T18" i="18" l="1"/>
  <c r="T13" i="18"/>
  <c r="W13" i="18" s="1"/>
  <c r="T75" i="18"/>
  <c r="W75" i="18" s="1"/>
  <c r="T74" i="18"/>
  <c r="W74" i="18" s="1"/>
  <c r="T72" i="18"/>
  <c r="W72" i="18" s="1"/>
  <c r="T71" i="18"/>
  <c r="W71" i="18" s="1"/>
  <c r="J23" i="32" s="1"/>
  <c r="T12" i="18"/>
  <c r="W12" i="18" s="1"/>
  <c r="J9" i="32" s="1"/>
  <c r="T70" i="18"/>
  <c r="W70" i="18" s="1"/>
  <c r="J22" i="32" s="1"/>
  <c r="T40" i="18"/>
  <c r="W40" i="18" s="1"/>
  <c r="P77" i="18"/>
  <c r="Q77" i="18"/>
  <c r="R77" i="18"/>
  <c r="O77" i="18"/>
  <c r="P36" i="18"/>
  <c r="Q36" i="18"/>
  <c r="Q32" i="29" s="1"/>
  <c r="R36" i="18"/>
  <c r="R32" i="29" s="1"/>
  <c r="R85" i="29" s="1"/>
  <c r="O36" i="18"/>
  <c r="P53" i="18"/>
  <c r="Q53" i="18"/>
  <c r="R53" i="18"/>
  <c r="O53" i="18"/>
  <c r="Q85" i="29" l="1"/>
  <c r="W53" i="18"/>
  <c r="F8" i="26" s="1"/>
  <c r="J13" i="32"/>
  <c r="J21" i="32"/>
  <c r="P32" i="29"/>
  <c r="P85" i="29" s="1"/>
  <c r="O32" i="29"/>
  <c r="O85" i="29" s="1"/>
  <c r="K8" i="26"/>
  <c r="J8" i="26"/>
  <c r="H8" i="26"/>
  <c r="I8" i="26"/>
  <c r="K7" i="26"/>
  <c r="R15" i="18"/>
  <c r="K9" i="26" s="1"/>
  <c r="H7" i="26"/>
  <c r="J7" i="26"/>
  <c r="I7" i="26"/>
  <c r="J12" i="26"/>
  <c r="J30" i="26" s="1"/>
  <c r="I12" i="26"/>
  <c r="I30" i="26" s="1"/>
  <c r="H12" i="26"/>
  <c r="H30" i="26" s="1"/>
  <c r="K12" i="26"/>
  <c r="K30" i="26" s="1"/>
  <c r="W77" i="18"/>
  <c r="T77" i="18"/>
  <c r="T53" i="18"/>
  <c r="T36" i="18"/>
  <c r="T32" i="29" l="1"/>
  <c r="H29" i="26"/>
  <c r="T85" i="29"/>
  <c r="C7" i="26"/>
  <c r="T5" i="18"/>
  <c r="W5" i="18" s="1"/>
  <c r="T6" i="18"/>
  <c r="W6" i="18" s="1"/>
  <c r="P15" i="18"/>
  <c r="I9" i="26" s="1"/>
  <c r="C12" i="26"/>
  <c r="C30" i="26" s="1"/>
  <c r="Q15" i="18"/>
  <c r="J9" i="26" s="1"/>
  <c r="D39" i="26"/>
  <c r="C39" i="26" s="1"/>
  <c r="F12" i="26"/>
  <c r="F30" i="26" s="1"/>
  <c r="Q96" i="29"/>
  <c r="J10" i="26"/>
  <c r="I10" i="26"/>
  <c r="P96" i="29"/>
  <c r="K10" i="26"/>
  <c r="R96" i="29"/>
  <c r="H10" i="26"/>
  <c r="O15" i="18"/>
  <c r="C8" i="26"/>
  <c r="T4" i="29"/>
  <c r="P89" i="18"/>
  <c r="J11" i="32" l="1"/>
  <c r="C10" i="26"/>
  <c r="C31" i="26" s="1"/>
  <c r="P104" i="18"/>
  <c r="I16" i="26"/>
  <c r="I29" i="26" s="1"/>
  <c r="T15" i="18"/>
  <c r="H9" i="26"/>
  <c r="H13" i="26" s="1"/>
  <c r="W4" i="29"/>
  <c r="H40" i="26"/>
  <c r="C40" i="26" s="1"/>
  <c r="W15" i="18"/>
  <c r="H37" i="26"/>
  <c r="Q89" i="18"/>
  <c r="J16" i="26" s="1"/>
  <c r="O82" i="18"/>
  <c r="T86" i="18"/>
  <c r="P82" i="18"/>
  <c r="W86" i="18" l="1"/>
  <c r="X86" i="18"/>
  <c r="W32" i="29"/>
  <c r="W85" i="29" s="1"/>
  <c r="W96" i="29" s="1"/>
  <c r="R89" i="18"/>
  <c r="K16" i="26" s="1"/>
  <c r="K29" i="26" s="1"/>
  <c r="S89" i="18"/>
  <c r="L16" i="26" s="1"/>
  <c r="C9" i="26"/>
  <c r="H28" i="26"/>
  <c r="H32" i="26" s="1"/>
  <c r="H41" i="26"/>
  <c r="F10" i="26"/>
  <c r="F31" i="26" s="1"/>
  <c r="O96" i="29"/>
  <c r="T96" i="29"/>
  <c r="I13" i="26"/>
  <c r="I14" i="26" s="1"/>
  <c r="I28" i="26"/>
  <c r="I32" i="26" s="1"/>
  <c r="O93" i="18"/>
  <c r="W82" i="18"/>
  <c r="I18" i="26"/>
  <c r="I19" i="26" s="1"/>
  <c r="H14" i="26"/>
  <c r="J29" i="26"/>
  <c r="Q104" i="18"/>
  <c r="R104" i="18"/>
  <c r="T87" i="18"/>
  <c r="W87" i="18" s="1"/>
  <c r="W89" i="18" s="1"/>
  <c r="F16" i="26" s="1"/>
  <c r="P93" i="18"/>
  <c r="J28" i="26"/>
  <c r="J31" i="32" l="1"/>
  <c r="J32" i="32" s="1"/>
  <c r="J33" i="32" s="1"/>
  <c r="X89" i="18"/>
  <c r="K32" i="32"/>
  <c r="L39" i="32"/>
  <c r="L41" i="32" s="1"/>
  <c r="L36" i="32"/>
  <c r="K18" i="26"/>
  <c r="K19" i="26" s="1"/>
  <c r="F18" i="26"/>
  <c r="F29" i="26"/>
  <c r="J32" i="26"/>
  <c r="W93" i="18"/>
  <c r="T89" i="18"/>
  <c r="D38" i="26" s="1"/>
  <c r="J18" i="26"/>
  <c r="J19" i="26" s="1"/>
  <c r="Q82" i="18"/>
  <c r="J13" i="26"/>
  <c r="S104" i="18"/>
  <c r="T104" i="18" s="1"/>
  <c r="L28" i="26"/>
  <c r="K28" i="26"/>
  <c r="K32" i="26" s="1"/>
  <c r="X93" i="18" l="1"/>
  <c r="H40" i="32" s="1"/>
  <c r="G16" i="26"/>
  <c r="H39" i="32"/>
  <c r="F41" i="26"/>
  <c r="C38" i="26"/>
  <c r="C16" i="26"/>
  <c r="L29" i="26"/>
  <c r="L32" i="26" s="1"/>
  <c r="L18" i="26"/>
  <c r="L19" i="26" s="1"/>
  <c r="Q93" i="18"/>
  <c r="J14" i="26"/>
  <c r="R82" i="18"/>
  <c r="R93" i="18" s="1"/>
  <c r="K13" i="26"/>
  <c r="S82" i="18"/>
  <c r="S93" i="18" s="1"/>
  <c r="L13" i="26"/>
  <c r="D37" i="26"/>
  <c r="G18" i="26" l="1"/>
  <c r="G41" i="26" s="1"/>
  <c r="G29" i="26"/>
  <c r="H41" i="32"/>
  <c r="K14" i="26"/>
  <c r="D41" i="26"/>
  <c r="C37" i="26"/>
  <c r="C18" i="26"/>
  <c r="C29" i="26"/>
  <c r="C13" i="26"/>
  <c r="C28" i="26"/>
  <c r="T82" i="18"/>
  <c r="T93" i="18" s="1"/>
  <c r="L14" i="26"/>
  <c r="H36" i="32" l="1"/>
  <c r="M36" i="32" s="1"/>
  <c r="C32" i="26"/>
  <c r="C21" i="26"/>
  <c r="C19" i="26"/>
  <c r="C41" i="26" s="1"/>
  <c r="W16" i="28"/>
  <c r="W81" i="28" l="1"/>
  <c r="W92" i="28" s="1"/>
  <c r="F9" i="26"/>
  <c r="F13" i="26" s="1"/>
  <c r="I39" i="32" l="1"/>
  <c r="M39" i="32" s="1"/>
  <c r="F28" i="26"/>
  <c r="F32" i="26" s="1"/>
  <c r="X16" i="28" l="1"/>
  <c r="G9" i="26" l="1"/>
  <c r="X81" i="28"/>
  <c r="X92" i="28" s="1"/>
  <c r="I40" i="32" l="1"/>
  <c r="M40" i="32" s="1"/>
  <c r="G28" i="26"/>
  <c r="G32" i="26" s="1"/>
  <c r="G13" i="26"/>
  <c r="U16" i="28"/>
  <c r="D9" i="26" s="1"/>
  <c r="V16" i="28"/>
  <c r="V81" i="28" s="1"/>
  <c r="V92" i="28" s="1"/>
  <c r="E9" i="26" l="1"/>
  <c r="E28" i="26" s="1"/>
  <c r="E32" i="26" s="1"/>
  <c r="I38" i="32"/>
  <c r="M38" i="32" s="1"/>
  <c r="D13" i="26"/>
  <c r="D28" i="26"/>
  <c r="D32" i="26" s="1"/>
  <c r="U81" i="28"/>
  <c r="U92" i="28" s="1"/>
  <c r="E13" i="26" l="1"/>
  <c r="C14" i="26" s="1"/>
  <c r="I37" i="32"/>
  <c r="I41" i="32" l="1"/>
  <c r="M41" i="32" s="1"/>
  <c r="O43" i="32" s="1"/>
  <c r="M37"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6" authorId="0" shapeId="0" xr:uid="{5D688380-AC91-4888-B083-BD591F8C71F3}">
      <text>
        <r>
          <rPr>
            <b/>
            <sz val="9"/>
            <color indexed="81"/>
            <rFont val="Tahoma"/>
            <family val="2"/>
          </rPr>
          <t>Author:</t>
        </r>
        <r>
          <rPr>
            <sz val="9"/>
            <color indexed="81"/>
            <rFont val="Tahoma"/>
            <family val="2"/>
          </rPr>
          <t xml:space="preserve">
Attention, en termes d'affichage, le GCF ne pourra pas financer des opérations de maintenance, sauf as exceptionnel et auquel cas, il faut le faire valider par l'AFD !!!
En général, ce sont les Etats qui pennent en charge cette partie</t>
        </r>
      </text>
    </comment>
    <comment ref="I16" authorId="0" shapeId="0" xr:uid="{AFFA4D82-82B4-4EE2-AD53-42B8A7F82F94}">
      <text>
        <r>
          <rPr>
            <b/>
            <sz val="9"/>
            <color indexed="81"/>
            <rFont val="Tahoma"/>
            <family val="2"/>
          </rPr>
          <t>Author:</t>
        </r>
        <r>
          <rPr>
            <sz val="9"/>
            <color indexed="81"/>
            <rFont val="Tahoma"/>
            <family val="2"/>
          </rPr>
          <t xml:space="preserve">
ce qui voudrait dire que les premiers services seraient disponibles à cette date ? </t>
        </r>
      </text>
    </comment>
    <comment ref="L16" authorId="0" shapeId="0" xr:uid="{71169D57-F548-4F55-A040-2E0591C8BF37}">
      <text>
        <r>
          <rPr>
            <b/>
            <sz val="9"/>
            <color indexed="81"/>
            <rFont val="Tahoma"/>
            <family val="2"/>
          </rPr>
          <t>Author:</t>
        </r>
        <r>
          <rPr>
            <sz val="9"/>
            <color indexed="81"/>
            <rFont val="Tahoma"/>
            <family val="2"/>
          </rPr>
          <t xml:space="preserve">
7% des couts unitaires à l'horizon 2075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3" authorId="0" shapeId="0" xr:uid="{F8D59185-B43F-3E44-9927-23BDC3750BBD}">
      <text>
        <r>
          <rPr>
            <sz val="12"/>
            <color rgb="FF000000"/>
            <rFont val="Calibri"/>
            <family val="2"/>
          </rPr>
          <t xml:space="preserve">[Threaded comment]
</t>
        </r>
        <r>
          <rPr>
            <sz val="12"/>
            <color rgb="FF000000"/>
            <rFont val="Calibri"/>
            <family val="2"/>
          </rPr>
          <t xml:space="preserve">
</t>
        </r>
        <r>
          <rPr>
            <sz val="12"/>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2"/>
            <color rgb="FF000000"/>
            <rFont val="Calibri"/>
            <family val="2"/>
          </rPr>
          <t xml:space="preserve">
</t>
        </r>
        <r>
          <rPr>
            <sz val="12"/>
            <color rgb="FF000000"/>
            <rFont val="Calibri"/>
            <family val="2"/>
          </rPr>
          <t xml:space="preserve">Comment:
</t>
        </r>
        <r>
          <rPr>
            <sz val="12"/>
            <color rgb="FF000000"/>
            <rFont val="Calibri"/>
            <family val="2"/>
          </rPr>
          <t xml:space="preserve">    Pour ce type de poste, je pense qu'une société de gestion proposerait a minima un candidat autour de 800euros/jour tout compris (honoraires, frais administratifs expat, logement, assurance, transports internationaux, marge de la société de gestion). Compte tenu de l'enveloppe budgétare, je pense que le prix journalier serait même plus élevé.</t>
        </r>
      </text>
    </comment>
    <comment ref="E9" authorId="0" shapeId="0" xr:uid="{4940B722-541D-1645-BCFD-DAA7D324F854}">
      <text>
        <r>
          <rPr>
            <sz val="12"/>
            <color rgb="FF000000"/>
            <rFont val="Calibri"/>
            <family val="2"/>
          </rPr>
          <t xml:space="preserve">[Threaded comment]
</t>
        </r>
        <r>
          <rPr>
            <sz val="12"/>
            <color rgb="FF000000"/>
            <rFont val="Calibri"/>
            <family val="2"/>
          </rPr>
          <t xml:space="preserve">
</t>
        </r>
        <r>
          <rPr>
            <sz val="12"/>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2"/>
            <color rgb="FF000000"/>
            <rFont val="Calibri"/>
            <family val="2"/>
          </rPr>
          <t xml:space="preserve">
</t>
        </r>
        <r>
          <rPr>
            <sz val="12"/>
            <color rgb="FF000000"/>
            <rFont val="Calibri"/>
            <family val="2"/>
          </rPr>
          <t xml:space="preserve">Comment:
</t>
        </r>
        <r>
          <rPr>
            <sz val="12"/>
            <color rgb="FF000000"/>
            <rFont val="Calibri"/>
            <family val="2"/>
          </rPr>
          <t xml:space="preserve">    J'ai augmenté le salaire à 2000euros</t>
        </r>
      </text>
    </comment>
    <comment ref="A17" authorId="0" shapeId="0" xr:uid="{4A1F93ED-06B9-9E40-9560-200F193B9F53}">
      <text>
        <r>
          <rPr>
            <sz val="12"/>
            <color rgb="FF000000"/>
            <rFont val="Calibri"/>
            <family val="2"/>
          </rPr>
          <t xml:space="preserve">[Threaded comment]
</t>
        </r>
        <r>
          <rPr>
            <sz val="12"/>
            <color rgb="FF000000"/>
            <rFont val="Calibri"/>
            <family val="2"/>
          </rPr>
          <t xml:space="preserve">
</t>
        </r>
        <r>
          <rPr>
            <sz val="12"/>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2"/>
            <color rgb="FF000000"/>
            <rFont val="Calibri"/>
            <family val="2"/>
          </rPr>
          <t xml:space="preserve">
</t>
        </r>
        <r>
          <rPr>
            <sz val="12"/>
            <color rgb="FF000000"/>
            <rFont val="Calibri"/>
            <family val="2"/>
          </rPr>
          <t xml:space="preserve">Comment:
</t>
        </r>
        <r>
          <rPr>
            <sz val="12"/>
            <color rgb="FF000000"/>
            <rFont val="Calibri"/>
            <family val="2"/>
          </rPr>
          <t xml:space="preserve">    Il faut ici prévoir un montant forfaitaire de voyage par année permettant au RPC de voyager dans la région et à l'étranger, mais également à certaines personne de son équipes (comptable, communication a minima). il est fréquent que ces personnes aient à voyager dans le cadre de leurs activités.</t>
        </r>
      </text>
    </comment>
    <comment ref="A19" authorId="0" shapeId="0" xr:uid="{D2C6C9E8-8BEA-4B4C-8259-D6A4DC1304CE}">
      <text>
        <r>
          <rPr>
            <sz val="12"/>
            <color rgb="FF000000"/>
            <rFont val="Calibri"/>
            <family val="2"/>
          </rPr>
          <t xml:space="preserve">[Threaded comment]
</t>
        </r>
        <r>
          <rPr>
            <sz val="12"/>
            <color rgb="FF000000"/>
            <rFont val="Calibri"/>
            <family val="2"/>
          </rPr>
          <t xml:space="preserve">
</t>
        </r>
        <r>
          <rPr>
            <sz val="12"/>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2"/>
            <color rgb="FF000000"/>
            <rFont val="Calibri"/>
            <family val="2"/>
          </rPr>
          <t xml:space="preserve">
</t>
        </r>
        <r>
          <rPr>
            <sz val="12"/>
            <color rgb="FF000000"/>
            <rFont val="Calibri"/>
            <family val="2"/>
          </rPr>
          <t xml:space="preserve">Comment:
</t>
        </r>
        <r>
          <rPr>
            <sz val="12"/>
            <color rgb="FF000000"/>
            <rFont val="Calibri"/>
            <family val="2"/>
          </rPr>
          <t xml:space="preserve">    Pour un projet de cette nature, je pense que le SC doit être envisagé sur 2 jours. J'ai augmenté le prix à 25keuros au lieu de 20keuros.</t>
        </r>
      </text>
    </comment>
    <comment ref="A20" authorId="0" shapeId="0" xr:uid="{DF8C440B-B85B-D24E-A314-90F79E0065C3}">
      <text>
        <r>
          <rPr>
            <sz val="12"/>
            <color rgb="FF000000"/>
            <rFont val="Calibri"/>
            <family val="2"/>
          </rPr>
          <t xml:space="preserve">[Threaded comment]
</t>
        </r>
        <r>
          <rPr>
            <sz val="12"/>
            <color rgb="FF000000"/>
            <rFont val="Calibri"/>
            <family val="2"/>
          </rPr>
          <t xml:space="preserve">
</t>
        </r>
        <r>
          <rPr>
            <sz val="12"/>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2"/>
            <color rgb="FF000000"/>
            <rFont val="Calibri"/>
            <family val="2"/>
          </rPr>
          <t xml:space="preserve">
</t>
        </r>
        <r>
          <rPr>
            <sz val="12"/>
            <color rgb="FF000000"/>
            <rFont val="Calibri"/>
            <family val="2"/>
          </rPr>
          <t xml:space="preserve">Comment:
</t>
        </r>
        <r>
          <rPr>
            <sz val="12"/>
            <color rgb="FF000000"/>
            <rFont val="Calibri"/>
            <family val="2"/>
          </rPr>
          <t xml:space="preserve">    Selon moi, les NPS sont à la charge des institutions. Je pense que des budgets sont à prévoir uniquement pour les pays où des participants pourraient avoir à se déplacer comme aux Comores ou à Madagascar. Je propose de baisser le tarif à 5keuros/an. Ces coûts ne sont pas des per diem versés aux participants nationaux, sauf pour ceux qui se déplacent aux Comores et à Madagascar et venant de loin, pas de la capital.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49" authorId="0" shapeId="0" xr:uid="{00000000-0006-0000-0000-000001000000}">
      <text>
        <r>
          <rPr>
            <b/>
            <sz val="9"/>
            <color indexed="81"/>
            <rFont val="Tahoma"/>
            <family val="2"/>
          </rPr>
          <t>Author:</t>
        </r>
        <r>
          <rPr>
            <sz val="9"/>
            <color indexed="81"/>
            <rFont val="Tahoma"/>
            <family val="2"/>
          </rPr>
          <t xml:space="preserve">
Nouvelle chaine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50" authorId="0" shapeId="0" xr:uid="{42F2ABF0-A3D3-4093-AFCF-1823E3083FFB}">
      <text>
        <r>
          <rPr>
            <b/>
            <sz val="9"/>
            <color indexed="81"/>
            <rFont val="Tahoma"/>
            <family val="2"/>
          </rPr>
          <t>Author:</t>
        </r>
        <r>
          <rPr>
            <sz val="9"/>
            <color indexed="81"/>
            <rFont val="Tahoma"/>
            <family val="2"/>
          </rPr>
          <t xml:space="preserve">
Nouvelle chaine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49" authorId="0" shapeId="0" xr:uid="{5B37796B-D881-4A99-B659-15500C9383C8}">
      <text>
        <r>
          <rPr>
            <b/>
            <sz val="9"/>
            <color indexed="81"/>
            <rFont val="Tahoma"/>
            <family val="2"/>
          </rPr>
          <t>Author:</t>
        </r>
        <r>
          <rPr>
            <sz val="9"/>
            <color indexed="81"/>
            <rFont val="Tahoma"/>
            <family val="2"/>
          </rPr>
          <t xml:space="preserve">
Nouvelle chaine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48" authorId="0" shapeId="0" xr:uid="{155DCF3C-DAF2-4394-B1AB-F08DA7965C4F}">
      <text>
        <r>
          <rPr>
            <b/>
            <sz val="9"/>
            <color indexed="81"/>
            <rFont val="Tahoma"/>
            <family val="2"/>
          </rPr>
          <t>Author:</t>
        </r>
        <r>
          <rPr>
            <sz val="9"/>
            <color indexed="81"/>
            <rFont val="Tahoma"/>
            <family val="2"/>
          </rPr>
          <t xml:space="preserve">
Nouvelle chaine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4" authorId="0" shapeId="0" xr:uid="{635D94CC-CCDD-4F2C-A826-A69188F39FC3}">
      <text>
        <r>
          <rPr>
            <b/>
            <sz val="9"/>
            <color indexed="81"/>
            <rFont val="Tahoma"/>
            <family val="2"/>
          </rPr>
          <t>Author:</t>
        </r>
        <r>
          <rPr>
            <sz val="9"/>
            <color indexed="81"/>
            <rFont val="Tahoma"/>
            <family val="2"/>
          </rPr>
          <t xml:space="preserve">
attention 5% max du budget</t>
        </r>
      </text>
    </comment>
    <comment ref="L53" authorId="0" shapeId="0" xr:uid="{6B2B002B-83A5-4512-AB4D-EEA172CA2265}">
      <text>
        <r>
          <rPr>
            <b/>
            <sz val="9"/>
            <color indexed="81"/>
            <rFont val="Tahoma"/>
            <family val="2"/>
          </rPr>
          <t>Author:</t>
        </r>
        <r>
          <rPr>
            <sz val="9"/>
            <color indexed="81"/>
            <rFont val="Tahoma"/>
            <family val="2"/>
          </rPr>
          <t xml:space="preserve">
Nouvelle chaine</t>
        </r>
      </text>
    </comment>
  </commentList>
</comments>
</file>

<file path=xl/sharedStrings.xml><?xml version="1.0" encoding="utf-8"?>
<sst xmlns="http://schemas.openxmlformats.org/spreadsheetml/2006/main" count="1858" uniqueCount="352">
  <si>
    <t>TOTAL</t>
  </si>
  <si>
    <t>Formation</t>
  </si>
  <si>
    <t>Radar doppler</t>
  </si>
  <si>
    <t>Outil de climatologie</t>
  </si>
  <si>
    <t>OBS</t>
  </si>
  <si>
    <t>INFO</t>
  </si>
  <si>
    <t>Construction</t>
  </si>
  <si>
    <t>Sous-projets</t>
  </si>
  <si>
    <t>TRANS</t>
  </si>
  <si>
    <t>Budget
2018</t>
  </si>
  <si>
    <r>
      <t>Budget
2019</t>
    </r>
    <r>
      <rPr>
        <sz val="11"/>
        <color theme="1"/>
        <rFont val="Calibri"/>
        <family val="2"/>
        <scheme val="minor"/>
      </rPr>
      <t/>
    </r>
  </si>
  <si>
    <r>
      <t>Budget
2020</t>
    </r>
    <r>
      <rPr>
        <sz val="11"/>
        <color theme="1"/>
        <rFont val="Calibri"/>
        <family val="2"/>
        <scheme val="minor"/>
      </rPr>
      <t/>
    </r>
  </si>
  <si>
    <r>
      <t>Budget
2021</t>
    </r>
    <r>
      <rPr>
        <sz val="11"/>
        <color theme="1"/>
        <rFont val="Calibri"/>
        <family val="2"/>
        <scheme val="minor"/>
      </rPr>
      <t/>
    </r>
  </si>
  <si>
    <t xml:space="preserve">Systèmes d'Information </t>
  </si>
  <si>
    <t>Système de radiosondage  et Générateur d'Hydrogène</t>
  </si>
  <si>
    <t>Affichage Public</t>
  </si>
  <si>
    <t>Consultance prévision crues</t>
  </si>
  <si>
    <t>Systèmes d'Observation</t>
  </si>
  <si>
    <t>Accompagnement</t>
  </si>
  <si>
    <t>Collecte de Données</t>
  </si>
  <si>
    <t>Gestion de Projet &amp; assistance</t>
  </si>
  <si>
    <t>Intégration systèmes d'information</t>
  </si>
  <si>
    <t>Intégration systèmes d'observations</t>
  </si>
  <si>
    <t>Support Technique OBS</t>
  </si>
  <si>
    <t>Support Technique INFO</t>
  </si>
  <si>
    <t>Système de production TV</t>
  </si>
  <si>
    <t>Consultance érosion côtière</t>
  </si>
  <si>
    <t>Consultance sécurité alimentaire</t>
  </si>
  <si>
    <t>SERVICES</t>
  </si>
  <si>
    <t>Bouée hauteur vague</t>
  </si>
  <si>
    <t>Réhabilitation centre de maintenance</t>
  </si>
  <si>
    <t>Système automatique d'observation aéroport</t>
  </si>
  <si>
    <t>Réhabilitation centre de télécom</t>
  </si>
  <si>
    <t>Type</t>
  </si>
  <si>
    <t>Equipement</t>
  </si>
  <si>
    <t>Système</t>
  </si>
  <si>
    <t>Stockage archive et traitement des données</t>
  </si>
  <si>
    <t>Production de dossiers de vol</t>
  </si>
  <si>
    <t>Production d'alertes et produits</t>
  </si>
  <si>
    <t>Assistance technique</t>
  </si>
  <si>
    <t>Assistance à  transition et  conception</t>
  </si>
  <si>
    <t>Modèles pour urgences (pollution atmo, marine, …)</t>
  </si>
  <si>
    <t>Modèles atmosphériques: descente d'échelle dynamique</t>
  </si>
  <si>
    <t>Centre de calcul (énergie, mise au normes réseau, …)</t>
  </si>
  <si>
    <t>Total qté</t>
  </si>
  <si>
    <t>Budget Unitaire</t>
  </si>
  <si>
    <t>Tour radar</t>
  </si>
  <si>
    <t>Budget
2022</t>
  </si>
  <si>
    <t>Agro-Météorologie</t>
  </si>
  <si>
    <t>Services autres secteurs</t>
  </si>
  <si>
    <t>Réseau national d'observation stations agro mto</t>
  </si>
  <si>
    <t>Réseau national d'observation mini stations agro mto</t>
  </si>
  <si>
    <t>Véhicules</t>
  </si>
  <si>
    <t>Renforcement institutionnel</t>
  </si>
  <si>
    <t>Formation communautaire et simulations sur l'utilisation des produits et le renforcement de la capacité d'intervention</t>
  </si>
  <si>
    <t>Renforcer l'engagement citoyen et le suivi de la satisfaction des utilisateurs finaux, sur la base d'enquêtes sur les besoins et de mécanismes permettant des retours d'utilisateurs sur les services</t>
  </si>
  <si>
    <t>Besoins OP TEC</t>
  </si>
  <si>
    <t>Besoins OP RH</t>
  </si>
  <si>
    <t>Salaires totaux</t>
  </si>
  <si>
    <t>Personnel</t>
  </si>
  <si>
    <t>Salaires</t>
  </si>
  <si>
    <t>Nombre total</t>
  </si>
  <si>
    <t>Nombre lié au projet</t>
  </si>
  <si>
    <t>TOTAL INVEST</t>
  </si>
  <si>
    <t>Risque inondation: calage des images radar</t>
  </si>
  <si>
    <t>Challenge</t>
  </si>
  <si>
    <t>Site Web et applications mobile pour secteurs pro (marine, inondation, ...)</t>
  </si>
  <si>
    <t>Postes de travail du prévisionniste</t>
  </si>
  <si>
    <t>Formation diplômante (incluant l'agrométéorologie et la gestion du risque inondation)</t>
  </si>
  <si>
    <t>Services agroclimatiques</t>
  </si>
  <si>
    <t>Embauches projet</t>
  </si>
  <si>
    <t>Réhabilitation des bâtiments à Moroni</t>
  </si>
  <si>
    <t>Batiment pour Anjouan &amp; Moheli (PNUD)</t>
  </si>
  <si>
    <t>Budget
2021</t>
  </si>
  <si>
    <t>Budget
2023</t>
  </si>
  <si>
    <t>Budget
2024</t>
  </si>
  <si>
    <t>Budget
2025</t>
  </si>
  <si>
    <t>Réseau national d'observation synop (PNUD)</t>
  </si>
  <si>
    <t xml:space="preserve">Réseau pluvio risque d'inondation </t>
  </si>
  <si>
    <t>Formation générale (incluant l'agrométéorologie et la gestion du risque inondation)</t>
  </si>
  <si>
    <t>Fourniture de services (informations et alertes) directement aux bénéficiaires (y compris avec les opérateurs de téléphonie mobile ou autres)</t>
  </si>
  <si>
    <t>Système de radiosondage  et Générateur d'Hydrogène Agalega, et Saint Brandon et st Rodrigue</t>
  </si>
  <si>
    <t>Réseau national d'observation synop aws</t>
  </si>
  <si>
    <t>Réseau foudre station Rodrigue</t>
  </si>
  <si>
    <t>Collecte de Données: connectés 30 AWS</t>
  </si>
  <si>
    <t>Réseau pluvio risque d'inondation Port Louis, Cottage</t>
  </si>
  <si>
    <t>Outil de climatologie - CDMS</t>
  </si>
  <si>
    <t>Wave radar hauteur vague Maurice Nord, Rodrigue Nord et Agalega</t>
  </si>
  <si>
    <t>Extension des bâtiments financé par gvnt</t>
  </si>
  <si>
    <t>AMSS</t>
  </si>
  <si>
    <t>Modèles pour urgences (hydraulique urbaine avec NDRRMC, …)</t>
  </si>
  <si>
    <t>Operations &amp; Maintenance</t>
  </si>
  <si>
    <t>TOTAL PROJET</t>
  </si>
  <si>
    <t>Opérations Post Projet par an</t>
  </si>
  <si>
    <t>AFD</t>
  </si>
  <si>
    <t>USD</t>
  </si>
  <si>
    <t>Dimensionnement quantité</t>
  </si>
  <si>
    <t>Fin.
AFD, EU, GCF, GVNT</t>
  </si>
  <si>
    <t>Durée de vie (an)</t>
  </si>
  <si>
    <t>Composant 1</t>
  </si>
  <si>
    <t>Composant 2</t>
  </si>
  <si>
    <t>Composant 3</t>
  </si>
  <si>
    <t>Composant 4</t>
  </si>
  <si>
    <t>Composant 5</t>
  </si>
  <si>
    <t>Composant 7</t>
  </si>
  <si>
    <t>Total composante 1</t>
  </si>
  <si>
    <t>Total composante 2</t>
  </si>
  <si>
    <t>Total composante 3</t>
  </si>
  <si>
    <t>Total composante 4</t>
  </si>
  <si>
    <t>Total composante 5</t>
  </si>
  <si>
    <t>Total composantes 1 à 5</t>
  </si>
  <si>
    <t>Total composante 6</t>
  </si>
  <si>
    <t>Total composantes 1 à 6</t>
  </si>
  <si>
    <t>Total composante 7</t>
  </si>
  <si>
    <t>Total des besoins opérationnels sur toute la durée de vie du projet</t>
  </si>
  <si>
    <t xml:space="preserve">Coûts d'investissement et mise en œuvre du projet </t>
  </si>
  <si>
    <t>Coûts de fonctionnement (Opération &amp; Maintenance)</t>
  </si>
  <si>
    <t xml:space="preserve">sous-total </t>
  </si>
  <si>
    <t>Contrôle</t>
  </si>
  <si>
    <t xml:space="preserve">Coût unitaire </t>
  </si>
  <si>
    <t xml:space="preserve">Taux d'inflation </t>
  </si>
  <si>
    <t xml:space="preserve">Taux d'actualisation </t>
  </si>
  <si>
    <t>EU</t>
  </si>
  <si>
    <t>GCF</t>
  </si>
  <si>
    <t>Réhabilitation des bâtiments (PNUD)</t>
  </si>
  <si>
    <t>Modèles pour urgences (pollution atmo, marine, sécuirté alimentaire)</t>
  </si>
  <si>
    <t>GVNT</t>
  </si>
  <si>
    <t>Radar doppler Rodrigue</t>
  </si>
  <si>
    <t>Nouveau Batiment</t>
  </si>
  <si>
    <t>O&amp;M</t>
  </si>
  <si>
    <t>Composante GCF 1</t>
  </si>
  <si>
    <t>Composante GCF 2</t>
  </si>
  <si>
    <t>Composante GCF 3</t>
  </si>
  <si>
    <t>Composante GCF 4</t>
  </si>
  <si>
    <t>COMORES</t>
  </si>
  <si>
    <t>MADAGASCAR</t>
  </si>
  <si>
    <t>SEYCHELLES</t>
  </si>
  <si>
    <t>MAURICE</t>
  </si>
  <si>
    <t>REGIONAL</t>
  </si>
  <si>
    <t>Par bloc métier</t>
  </si>
  <si>
    <t>Système d'observation</t>
  </si>
  <si>
    <t>Système d'information</t>
  </si>
  <si>
    <t>Renforcement instit &amp; training</t>
  </si>
  <si>
    <t>Services agro</t>
  </si>
  <si>
    <t>Autres services</t>
  </si>
  <si>
    <t>Opération &amp; Maintenance</t>
  </si>
  <si>
    <t>Ressources Humaines</t>
  </si>
  <si>
    <t>Par composante GCF &amp; Bailleur</t>
  </si>
  <si>
    <t>Par composante GCF et pays</t>
  </si>
  <si>
    <t>Project Management</t>
  </si>
  <si>
    <t>Development of a regional climate services strategy (to serve a broad guidelines to national strategies)</t>
  </si>
  <si>
    <t>Regional Institutional strengthening</t>
  </si>
  <si>
    <t>Maintenance workshop design</t>
  </si>
  <si>
    <t>Regional Numerical Weather Prediction design</t>
  </si>
  <si>
    <t>Establishment of a Regional User Interface Platform strategy</t>
  </si>
  <si>
    <t>Training Center equipment</t>
  </si>
  <si>
    <t>Regional Maintenance workshop</t>
  </si>
  <si>
    <t>Design and set-up of digital platform to disseminate end-user’ services</t>
  </si>
  <si>
    <t>Strengthen SWICOF organization</t>
  </si>
  <si>
    <t>Design a strategy to ensure continuation of SWIOCOF beyond project’s lifetime</t>
  </si>
  <si>
    <t>Gestion de projet</t>
  </si>
  <si>
    <t>Services tourisme</t>
  </si>
  <si>
    <t xml:space="preserve">Pourquoi composante GCF, n'est ce pas la totalité du projet ? </t>
  </si>
  <si>
    <t>Echelles limnimétriques</t>
  </si>
  <si>
    <t>Limnigraphes électronique</t>
  </si>
  <si>
    <t>ADCP</t>
  </si>
  <si>
    <t>Moulinets</t>
  </si>
  <si>
    <t>Bateaux gonflables</t>
  </si>
  <si>
    <t>Hydrochimie</t>
  </si>
  <si>
    <t>Mesures piezomètriques</t>
  </si>
  <si>
    <t>Components</t>
  </si>
  <si>
    <t>Outputs</t>
  </si>
  <si>
    <t>Activities</t>
  </si>
  <si>
    <t xml:space="preserve">GCF </t>
  </si>
  <si>
    <t xml:space="preserve">AFD </t>
  </si>
  <si>
    <t>1. Capacity building, institutional development and regional cooperation</t>
  </si>
  <si>
    <t xml:space="preserve">1.1.4 Prepare a strategy to improve Regional Numerical Weather Prediction </t>
  </si>
  <si>
    <t xml:space="preserve">1.4 Detailed Design, technical specification, system integration and tendering process of Project Activities </t>
  </si>
  <si>
    <t>1.4.1. Produce a detailed design and system integration for each met service</t>
  </si>
  <si>
    <r>
      <t>-</t>
    </r>
    <r>
      <rPr>
        <sz val="7"/>
        <color theme="1"/>
        <rFont val="Times New Roman"/>
        <family val="1"/>
      </rPr>
      <t xml:space="preserve">       </t>
    </r>
    <r>
      <rPr>
        <sz val="9"/>
        <color theme="1"/>
        <rFont val="Arial"/>
        <family val="2"/>
      </rPr>
      <t> </t>
    </r>
  </si>
  <si>
    <r>
      <t>2. Improved monitoring, risk analyses and forecasting</t>
    </r>
    <r>
      <rPr>
        <sz val="9"/>
        <color theme="1"/>
        <rFont val="Arial"/>
        <family val="2"/>
      </rPr>
      <t xml:space="preserve"> </t>
    </r>
  </si>
  <si>
    <t xml:space="preserve">2.1 Enhanced hydro-meteorological observing, monitoring, and impact forecasting services </t>
  </si>
  <si>
    <t xml:space="preserve">2.1.1 Modernise/upgrade climate observation and monitoring network  </t>
  </si>
  <si>
    <t xml:space="preserve">2.1.2 Modernise/upgrade information system for telecom, forecast, climatology </t>
  </si>
  <si>
    <t xml:space="preserve">2.2 Regional facilities for maintenance and training established </t>
  </si>
  <si>
    <t>2.2.2 Refurbish regional training centre of Mauritius to train observers and forecasters</t>
  </si>
  <si>
    <t>2.3 R&amp;D capacities enhanced to improve understanding of climate and disaster risks on communities and sectors</t>
  </si>
  <si>
    <t>3.Strengthened climate services delivery and early warning systems at national and regional level</t>
  </si>
  <si>
    <t>4. Project management</t>
  </si>
  <si>
    <t>4.1 Project management</t>
  </si>
  <si>
    <t>4.1.1 Project management</t>
  </si>
  <si>
    <t>4.2 O&amp;M</t>
  </si>
  <si>
    <t>4.1.1 O&amp;M</t>
  </si>
  <si>
    <t>1.1.1</t>
  </si>
  <si>
    <t>1.1.2</t>
  </si>
  <si>
    <t>1.1.3</t>
  </si>
  <si>
    <t>1.1.4</t>
  </si>
  <si>
    <t>1.1.5</t>
  </si>
  <si>
    <t>3.2.1</t>
  </si>
  <si>
    <t>3.2.2</t>
  </si>
  <si>
    <t>2.2.1</t>
  </si>
  <si>
    <t>2.2.2</t>
  </si>
  <si>
    <t>2.3.1</t>
  </si>
  <si>
    <t>3.3.3</t>
  </si>
  <si>
    <t>3.3.2</t>
  </si>
  <si>
    <t>2.1.1</t>
  </si>
  <si>
    <t>2.1.2</t>
  </si>
  <si>
    <t>3.1.1</t>
  </si>
  <si>
    <t>3.1.2</t>
  </si>
  <si>
    <t>3.1.3</t>
  </si>
  <si>
    <t>2.3.3</t>
  </si>
  <si>
    <t>2.3.2</t>
  </si>
  <si>
    <t>1.2.1</t>
  </si>
  <si>
    <t>1.2.2</t>
  </si>
  <si>
    <t>1.4.2</t>
  </si>
  <si>
    <t>3.3.1</t>
  </si>
  <si>
    <t>Develop and implement a plan to strengthen institutional settings of NHMSs</t>
  </si>
  <si>
    <t>Detailed design study</t>
  </si>
  <si>
    <t>Develop a business plan</t>
  </si>
  <si>
    <t>Develop a transiton support plan</t>
  </si>
  <si>
    <t>1.4.1</t>
  </si>
  <si>
    <t>1.3.1</t>
  </si>
  <si>
    <t>1.3.2</t>
  </si>
  <si>
    <t>1.3.3</t>
  </si>
  <si>
    <t>1.3.4</t>
  </si>
  <si>
    <t>Develop and support implementation of NFCS</t>
  </si>
  <si>
    <t>Formation continue (incluant l'agrométéorologie et la gestion du risque inondation)</t>
  </si>
  <si>
    <t>Training of NMHS'staff to raise understanding of risk exposure for communities and sectors based on climate forecasts provided</t>
  </si>
  <si>
    <t>Training center design</t>
  </si>
  <si>
    <t>Develop Project/Funding Proposals</t>
  </si>
  <si>
    <t>)</t>
  </si>
  <si>
    <t>AFD 5M€</t>
  </si>
  <si>
    <t>com</t>
  </si>
  <si>
    <t>mad</t>
  </si>
  <si>
    <t>sey</t>
  </si>
  <si>
    <t>mau</t>
  </si>
  <si>
    <t>reg</t>
  </si>
  <si>
    <t>tot</t>
  </si>
  <si>
    <t>afd</t>
  </si>
  <si>
    <t>eu</t>
  </si>
  <si>
    <t>gcf</t>
  </si>
  <si>
    <t>gvnt</t>
  </si>
  <si>
    <t>1.1 A Regional Climate Centre and frameworks for Climate Services (CS) established in the SWIO region</t>
  </si>
  <si>
    <t>1.2 Institutional arrangements and operational strategy of national met. services strengthened</t>
  </si>
  <si>
    <t xml:space="preserve">1.3 Improved staffing of the RCC and national met. services </t>
  </si>
  <si>
    <t xml:space="preserve">1.3.1 Recruit new staff members for the RCC and meteorological services </t>
  </si>
  <si>
    <t>2.3.3 Organise training on hydrologic modelling for flood prevision (i.e. flood propagation model)</t>
  </si>
  <si>
    <t>2.3.4 Organise training to produce seasonal agrometeorological bulletins downscaled at national, regional and local level (if possible)</t>
  </si>
  <si>
    <t xml:space="preserve">2.3.5 Develop hazards maps (cartes d’aléas) </t>
  </si>
  <si>
    <t xml:space="preserve">3.3.4 Support SWIOCOF to ensure the active participation of climate services users </t>
  </si>
  <si>
    <t xml:space="preserve">3.3.3 Strengthen the User Interface Platform (UIP) </t>
  </si>
  <si>
    <t>3.3 Training and improved communication with users and end-users of CS established</t>
  </si>
  <si>
    <t xml:space="preserve">3.2 Short- and long-term risk reduction and adaptation plans improved or developed based on high quality climate data, risk/vulnerability assessments and climate change projections (produced under Outcome 2)  </t>
  </si>
  <si>
    <t>3.1 Production and dissemination of immediate CS improved at regional and national level</t>
  </si>
  <si>
    <t>1.1.1 Develop regional and national frameworks for climate services (RFCS &amp; NFCS)</t>
  </si>
  <si>
    <t>1.1.2 Design the legal, institutional, financial and organisational strategy to establish the RCC within IOC</t>
  </si>
  <si>
    <t>1.1.3 Design the strategy of the regional lab for maintenance and annual calibration of equipment, and the strategy of the regional training lab (both labs will be set up under Output 2.2)</t>
  </si>
  <si>
    <t>1.2.1 Develop and implement a plan to strengthen institutional settings of NHMSs
Strengthen the institutional, operational and financial strategy of NHMSs for each target country</t>
  </si>
  <si>
    <t>1.2.2 Develop a business plan for each NHMS 
Design the transition support plan of each NHMS, DRR institutions and relevant sectoral ministries</t>
  </si>
  <si>
    <t>Develop training and recruiting plan</t>
  </si>
  <si>
    <t>1.3.2 Train/update training for new/existing staff</t>
  </si>
  <si>
    <t>1.4.2 Ensure that all systems installed are properly integrated within each other using data from the observing stations to the end-users production</t>
  </si>
  <si>
    <t>2.3.6 Develop climate vulnerability maps based on the climate hazard maps</t>
  </si>
  <si>
    <t>Equipment</t>
  </si>
  <si>
    <t>Organise training to improve downscaling of meteorological data</t>
  </si>
  <si>
    <t>Organise training on hydrologic modelling for flood prevision (i.e. flood propagation model)</t>
  </si>
  <si>
    <t>Organise training to produce seasonal agrometeorological bulletins downscaled at national, regional and local level (if possible)</t>
  </si>
  <si>
    <t xml:space="preserve">Organise training and R&amp;D activities on climate modelling capacity </t>
  </si>
  <si>
    <t>2.3.4</t>
  </si>
  <si>
    <t xml:space="preserve">2.3.1 Organise training to improve downscaling of meteorological data </t>
  </si>
  <si>
    <t xml:space="preserve">2.3.2 Organise training and R&amp;D activities on climate modelling capacity   </t>
  </si>
  <si>
    <t xml:space="preserve">3.2.1 Improve data sharing and coordination with emergency response plans for on-the-ground interventions at national and local levels </t>
  </si>
  <si>
    <t>3.2.2 Produce and/or update long term climate change adaptation plans responding to the needs of each country</t>
  </si>
  <si>
    <t xml:space="preserve">3.1.1 Improve the production and delivery of daily weather bulletin, seasonal forecasts, and agricultural advisories </t>
  </si>
  <si>
    <t>3.1.2 Strengthen early warning dissemination for key sectors and among the general public</t>
  </si>
  <si>
    <t>Design and implement data sharing strategy with main stakeholders</t>
  </si>
  <si>
    <t>Produce and/or update long term climate change adaptation plans responding to the needs of each country</t>
  </si>
  <si>
    <t>3.3.1 Train staff members of NHMS and in the RCC on how to package climate-related information in a user-friendly way</t>
  </si>
  <si>
    <t xml:space="preserve">3.3.2 Train knowledge brokers – including NGOs, red crescent/cross, local leaders and extension officers – and representatives of sectors in the GFCS areas (public and private organisations) on how to interpret and use CS for decision-making </t>
  </si>
  <si>
    <t>Bouée hauteur vague - océano</t>
  </si>
  <si>
    <t>Système automatique d'observation aéroport (Anjouan - Moheli)</t>
  </si>
  <si>
    <t>Réseau national d'observation synop</t>
  </si>
  <si>
    <t>Système automatique d'observation aéroport - Praslin</t>
  </si>
  <si>
    <t>Formation continue (incluant l'agrométéorologie et l'hydrometeo a gestion du risque inondation)</t>
  </si>
  <si>
    <t>Hydrochimie (WRU)</t>
  </si>
  <si>
    <t>Extension du système de production d'alertes et produits réseaux sociaux - remontée terrain</t>
  </si>
  <si>
    <t>Develop and implement a plan to strengthen institutional settings of NHMSs (autonomie DMN)</t>
  </si>
  <si>
    <t>Fourniture de services (informations et alertes) directement aux bénéficiaires (y compris avec les opérateurs de téléphonie mobile ou autres) intégrer Securité Civile</t>
  </si>
  <si>
    <t>Réseau foudre</t>
  </si>
  <si>
    <t>Tour radar - autre partenaire</t>
  </si>
  <si>
    <t>Laboratoire hydro, petit matériel</t>
  </si>
  <si>
    <t>Marégraphe  - agalega st brandon</t>
  </si>
  <si>
    <t>Prévision crues</t>
  </si>
  <si>
    <t>Pollution marine (dispersion polluant)</t>
  </si>
  <si>
    <t>Erosion côtière</t>
  </si>
  <si>
    <t>Sécurité alimentaire</t>
  </si>
  <si>
    <t>Regional Project Coordinator @US$18000 per months for 60 months</t>
  </si>
  <si>
    <t>National Project Coordinator Madagascar @US2000 per month for 60 months</t>
  </si>
  <si>
    <t>National Project Coordinator Comoros @US2000 per month for 60 months</t>
  </si>
  <si>
    <t>National Project Coordinator Seychelles @US2000 per month for 60 months</t>
  </si>
  <si>
    <t>National Project Coordinator Mauritius @US2000 per month for 60 months</t>
  </si>
  <si>
    <t>Environmental &amp; social officer (1 regional + punctual national expertise): regional expert for 4,5 months input @usd 3,000/month + 4 national expertise for 4,5 months in each country @usd 2,000/month</t>
  </si>
  <si>
    <t>Financial officer @$2000 per month for 60 months</t>
  </si>
  <si>
    <t>Administrative officer @$1500 per month for 60 months</t>
  </si>
  <si>
    <t>Communication officer @$1500 per month for 30 months</t>
  </si>
  <si>
    <t>Hydromet expert (technical) @3000 per month for 30 months (part time)</t>
  </si>
  <si>
    <t>External expert pool to review CV/technical proposal submitted in response to call for application (to be contracted as external by IOC - lumpsum available)</t>
  </si>
  <si>
    <t>Office equipment (5 laptops, 1 printer to rent)</t>
  </si>
  <si>
    <t>PMU running costs (frais electricte, internet, locaux, etc.) + audit</t>
  </si>
  <si>
    <t xml:space="preserve">Travel to project sites for RPC </t>
  </si>
  <si>
    <t>Project Steering Committee organisation cost per year (including transport and per diem for participant approx. 20pax)</t>
  </si>
  <si>
    <t>National Project Steering Committee organisation cost per year (no cost expect when local travel needed e.g. Mada and Comoros)</t>
  </si>
  <si>
    <t>ALL</t>
  </si>
  <si>
    <t>AFD-GCF</t>
  </si>
  <si>
    <t>2.2.1 Establish maintenance lab</t>
  </si>
  <si>
    <t>Input Description</t>
  </si>
  <si>
    <t>Line Item</t>
  </si>
  <si>
    <t># of items</t>
  </si>
  <si>
    <t>Unit</t>
  </si>
  <si>
    <t>Cost per item</t>
  </si>
  <si>
    <t>Total cost</t>
  </si>
  <si>
    <t>Year 1</t>
  </si>
  <si>
    <t>Year 2</t>
  </si>
  <si>
    <t>Year 3</t>
  </si>
  <si>
    <t>Year 4</t>
  </si>
  <si>
    <t>Year 5</t>
  </si>
  <si>
    <t>Total verif</t>
  </si>
  <si>
    <t>1. PMU staff</t>
  </si>
  <si>
    <t>RPC</t>
  </si>
  <si>
    <t>month</t>
  </si>
  <si>
    <t>NPC Mada</t>
  </si>
  <si>
    <t>NPC Comoros</t>
  </si>
  <si>
    <t>NPC Seychelles</t>
  </si>
  <si>
    <t>NPC Mauritius</t>
  </si>
  <si>
    <t>E&amp;SO</t>
  </si>
  <si>
    <t>Finacial office</t>
  </si>
  <si>
    <t>Administrative officer</t>
  </si>
  <si>
    <t>Communication officer</t>
  </si>
  <si>
    <t>Hydromet expert</t>
  </si>
  <si>
    <t>Technical expert pool</t>
  </si>
  <si>
    <t>lumpsum</t>
  </si>
  <si>
    <t>2. Set-up and running costs including travel</t>
  </si>
  <si>
    <t>Office equipment</t>
  </si>
  <si>
    <t>Frais COI</t>
  </si>
  <si>
    <t>frais</t>
  </si>
  <si>
    <t>Travel to project sites for RPC and 1 other PMU staff member</t>
  </si>
  <si>
    <t>Travel</t>
  </si>
  <si>
    <t>year</t>
  </si>
  <si>
    <t>3. Project Steering Committee meetings and audits</t>
  </si>
  <si>
    <t>PSC</t>
  </si>
  <si>
    <t>NSC</t>
  </si>
  <si>
    <t>Total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</si>
</sst>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quot;$&quot;* #,##0.00_);_(&quot;$&quot;* \(#,##0.00\);_(&quot;$&quot;* &quot;-&quot;??_);_(@_)"/>
    <numFmt numFmtId="165" formatCode="_-* #,##0.00\ _€_-;\-* #,##0.00\ _€_-;_-* &quot;-&quot;??\ _€_-;_-@_-"/>
    <numFmt numFmtId="166" formatCode="_-* #,##0\ [$€-40C]_-;\-* #,##0\ [$€-40C]_-;_-* &quot;-&quot;??\ [$€-40C]_-;_-@_-"/>
    <numFmt numFmtId="167" formatCode="_(* #,##0_);_(* \(#,##0\);_(* &quot;-&quot;??_);_(@_)"/>
    <numFmt numFmtId="168" formatCode="_([$$-409]* #,##0.00_);_([$$-409]* \(#,##0.00\);_([$$-409]* &quot;-&quot;??_);_(@_)"/>
    <numFmt numFmtId="169" formatCode="_([$$-409]* #,##0_);_([$$-409]* \(#,##0\);_([$$-409]* &quot;-&quot;??_);_(@_)"/>
    <numFmt numFmtId="170" formatCode="_(&quot;$&quot;* #,##0_);_(&quot;$&quot;* \(#,##0\);_(&quot;$&quot;* &quot;-&quot;??_);_(@_)"/>
    <numFmt numFmtId="171" formatCode="_-[$$-409]* #,##0.00_ ;_-[$$-409]* \-#,##0.00\ ;_-[$$-409]* &quot;-&quot;??_ ;_-@_ "/>
  </numFmts>
  <fonts count="27">
    <font>
      <sz val="11"/>
      <color theme="1"/>
      <name val="Calibri"/>
      <family val="2"/>
      <scheme val="minor"/>
    </font>
    <font>
      <sz val="11"/>
      <color theme="1"/>
      <name val="Calibri"/>
      <family val="2"/>
      <scheme val="minor"/>
    </font>
    <font>
      <sz val="10"/>
      <name val="Arial"/>
      <family val="2"/>
    </font>
    <font>
      <sz val="11"/>
      <color indexed="8"/>
      <name val="Calibri"/>
      <family val="2"/>
    </font>
    <font>
      <sz val="11"/>
      <name val="Calibri"/>
      <family val="2"/>
      <scheme val="minor"/>
    </font>
    <font>
      <b/>
      <sz val="11"/>
      <name val="Calibri"/>
      <family val="2"/>
      <scheme val="minor"/>
    </font>
    <font>
      <sz val="9"/>
      <color indexed="81"/>
      <name val="Tahoma"/>
      <family val="2"/>
    </font>
    <font>
      <b/>
      <sz val="9"/>
      <color indexed="81"/>
      <name val="Tahoma"/>
      <family val="2"/>
    </font>
    <font>
      <sz val="8"/>
      <name val="Calibri"/>
      <family val="2"/>
      <scheme val="minor"/>
    </font>
    <font>
      <b/>
      <sz val="11"/>
      <color theme="0"/>
      <name val="Calibri"/>
      <family val="2"/>
      <scheme val="minor"/>
    </font>
    <font>
      <sz val="11"/>
      <color theme="0"/>
      <name val="Calibri"/>
      <family val="2"/>
      <scheme val="minor"/>
    </font>
    <font>
      <sz val="11"/>
      <color rgb="FFFF0000"/>
      <name val="Calibri"/>
      <family val="2"/>
      <scheme val="minor"/>
    </font>
    <font>
      <b/>
      <i/>
      <sz val="11"/>
      <color theme="1"/>
      <name val="Calibri"/>
      <family val="2"/>
      <scheme val="minor"/>
    </font>
    <font>
      <i/>
      <sz val="8"/>
      <color theme="1"/>
      <name val="Calibri"/>
      <family val="2"/>
      <scheme val="minor"/>
    </font>
    <font>
      <b/>
      <sz val="11"/>
      <color theme="1"/>
      <name val="Calibri"/>
      <family val="2"/>
      <scheme val="minor"/>
    </font>
    <font>
      <sz val="9"/>
      <color theme="1"/>
      <name val="Arial"/>
      <family val="2"/>
    </font>
    <font>
      <b/>
      <sz val="11"/>
      <color rgb="FFFF0000"/>
      <name val="Calibri"/>
      <family val="2"/>
      <scheme val="minor"/>
    </font>
    <font>
      <b/>
      <sz val="9"/>
      <color theme="1"/>
      <name val="Arial"/>
      <family val="2"/>
    </font>
    <font>
      <sz val="7"/>
      <color theme="1"/>
      <name val="Times New Roman"/>
      <family val="1"/>
    </font>
    <font>
      <sz val="9"/>
      <name val="Arial"/>
      <family val="2"/>
    </font>
    <font>
      <b/>
      <sz val="12"/>
      <color theme="0"/>
      <name val="Calibri"/>
      <family val="2"/>
      <scheme val="minor"/>
    </font>
    <font>
      <sz val="12"/>
      <color rgb="FFFF0000"/>
      <name val="Calibri"/>
      <family val="2"/>
      <scheme val="minor"/>
    </font>
    <font>
      <b/>
      <i/>
      <sz val="10"/>
      <color theme="1"/>
      <name val="Calibri"/>
      <family val="2"/>
      <scheme val="minor"/>
    </font>
    <font>
      <b/>
      <i/>
      <sz val="10"/>
      <color theme="0"/>
      <name val="Calibri"/>
      <family val="2"/>
      <scheme val="minor"/>
    </font>
    <font>
      <i/>
      <sz val="10"/>
      <color theme="1"/>
      <name val="Calibri"/>
      <family val="2"/>
      <scheme val="minor"/>
    </font>
    <font>
      <sz val="11"/>
      <color rgb="FF000000"/>
      <name val="Calibri"/>
      <family val="2"/>
      <scheme val="minor"/>
    </font>
    <font>
      <sz val="12"/>
      <color rgb="FF000000"/>
      <name val="Calibri"/>
      <family val="2"/>
    </font>
  </fonts>
  <fills count="26">
    <fill>
      <patternFill patternType="none"/>
    </fill>
    <fill>
      <patternFill patternType="gray125"/>
    </fill>
    <fill>
      <patternFill patternType="solid">
        <fgColor theme="2"/>
        <bgColor indexed="64"/>
      </patternFill>
    </fill>
    <fill>
      <patternFill patternType="solid">
        <fgColor rgb="FFFF0000"/>
        <bgColor indexed="64"/>
      </patternFill>
    </fill>
    <fill>
      <patternFill patternType="solid">
        <fgColor rgb="FF92D050"/>
        <bgColor indexed="64"/>
      </patternFill>
    </fill>
    <fill>
      <patternFill patternType="solid">
        <fgColor theme="8"/>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bgColor indexed="64"/>
      </patternFill>
    </fill>
    <fill>
      <patternFill patternType="solid">
        <fgColor theme="7"/>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1" tint="0.249977111117893"/>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ck">
        <color indexed="64"/>
      </left>
      <right/>
      <top style="thick">
        <color indexed="64"/>
      </top>
      <bottom style="thick">
        <color indexed="64"/>
      </bottom>
      <diagonal/>
    </border>
    <border>
      <left/>
      <right style="thin">
        <color theme="0"/>
      </right>
      <top style="thin">
        <color theme="0"/>
      </top>
      <bottom style="thin">
        <color theme="0"/>
      </bottom>
      <diagonal/>
    </border>
    <border>
      <left style="medium">
        <color rgb="FFFF0000"/>
      </left>
      <right/>
      <top style="medium">
        <color rgb="FFFF0000"/>
      </top>
      <bottom/>
      <diagonal/>
    </border>
    <border>
      <left style="thin">
        <color theme="0"/>
      </left>
      <right style="thin">
        <color theme="0"/>
      </right>
      <top style="medium">
        <color rgb="FFFF0000"/>
      </top>
      <bottom style="thin">
        <color theme="0"/>
      </bottom>
      <diagonal/>
    </border>
    <border>
      <left style="thin">
        <color theme="0"/>
      </left>
      <right style="medium">
        <color rgb="FFFF0000"/>
      </right>
      <top style="medium">
        <color rgb="FFFF0000"/>
      </top>
      <bottom style="thin">
        <color theme="0"/>
      </bottom>
      <diagonal/>
    </border>
    <border>
      <left style="medium">
        <color rgb="FFFF0000"/>
      </left>
      <right/>
      <top/>
      <bottom/>
      <diagonal/>
    </border>
    <border>
      <left/>
      <right style="medium">
        <color rgb="FFFF0000"/>
      </right>
      <top/>
      <bottom/>
      <diagonal/>
    </border>
    <border>
      <left style="medium">
        <color rgb="FFFF0000"/>
      </left>
      <right style="thin">
        <color theme="0"/>
      </right>
      <top style="thin">
        <color theme="0"/>
      </top>
      <bottom style="thin">
        <color theme="0"/>
      </bottom>
      <diagonal/>
    </border>
    <border>
      <left style="medium">
        <color rgb="FFFF0000"/>
      </left>
      <right style="thin">
        <color theme="0"/>
      </right>
      <top/>
      <bottom/>
      <diagonal/>
    </border>
    <border>
      <left style="thin">
        <color theme="0"/>
      </left>
      <right style="medium">
        <color rgb="FFFF0000"/>
      </right>
      <top style="thin">
        <color theme="0"/>
      </top>
      <bottom style="thin">
        <color theme="0"/>
      </bottom>
      <diagonal/>
    </border>
    <border>
      <left style="medium">
        <color rgb="FFFF0000"/>
      </left>
      <right style="thin">
        <color theme="0"/>
      </right>
      <top/>
      <bottom style="medium">
        <color rgb="FFFF0000"/>
      </bottom>
      <diagonal/>
    </border>
    <border>
      <left style="thin">
        <color theme="0"/>
      </left>
      <right style="thin">
        <color theme="0"/>
      </right>
      <top style="thin">
        <color theme="0"/>
      </top>
      <bottom style="medium">
        <color rgb="FFFF0000"/>
      </bottom>
      <diagonal/>
    </border>
    <border>
      <left style="thin">
        <color theme="0"/>
      </left>
      <right style="medium">
        <color rgb="FFFF0000"/>
      </right>
      <top style="thin">
        <color theme="0"/>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2" fillId="0" borderId="0"/>
    <xf numFmtId="43" fontId="2"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305">
    <xf numFmtId="0" fontId="0" fillId="0" borderId="0" xfId="0"/>
    <xf numFmtId="0" fontId="4" fillId="0" borderId="0" xfId="0" applyFont="1"/>
    <xf numFmtId="0" fontId="4" fillId="0" borderId="0" xfId="0" applyFont="1" applyFill="1"/>
    <xf numFmtId="166" fontId="4" fillId="0" borderId="0" xfId="0" applyNumberFormat="1" applyFont="1" applyFill="1" applyBorder="1"/>
    <xf numFmtId="0" fontId="4" fillId="0" borderId="0" xfId="3" applyNumberFormat="1" applyFont="1" applyFill="1" applyBorder="1" applyAlignment="1">
      <alignment horizontal="center" vertical="center" wrapText="1"/>
    </xf>
    <xf numFmtId="0" fontId="4" fillId="0" borderId="0" xfId="3"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textRotation="90" wrapText="1"/>
    </xf>
    <xf numFmtId="0" fontId="4" fillId="0" borderId="0" xfId="0" applyFont="1" applyFill="1" applyBorder="1"/>
    <xf numFmtId="166" fontId="4" fillId="0" borderId="1" xfId="4" applyNumberFormat="1" applyFont="1" applyFill="1" applyBorder="1" applyAlignment="1">
      <alignment horizontal="left" vertical="center" wrapText="1"/>
    </xf>
    <xf numFmtId="0" fontId="4" fillId="0" borderId="0" xfId="0" applyFont="1" applyBorder="1"/>
    <xf numFmtId="0" fontId="4" fillId="0" borderId="0" xfId="0" applyFont="1" applyFill="1" applyBorder="1" applyAlignment="1">
      <alignment horizontal="center" vertical="center"/>
    </xf>
    <xf numFmtId="9" fontId="4" fillId="0" borderId="0" xfId="4" applyFont="1" applyFill="1" applyBorder="1" applyAlignment="1">
      <alignment horizontal="center" vertical="center"/>
    </xf>
    <xf numFmtId="1" fontId="4" fillId="0" borderId="0" xfId="4" applyNumberFormat="1" applyFont="1" applyFill="1" applyBorder="1" applyAlignment="1">
      <alignment horizontal="center" vertical="center"/>
    </xf>
    <xf numFmtId="166" fontId="5" fillId="2" borderId="2" xfId="0" applyNumberFormat="1" applyFont="1" applyFill="1" applyBorder="1" applyAlignment="1">
      <alignment horizontal="center" vertical="center"/>
    </xf>
    <xf numFmtId="0" fontId="4" fillId="0" borderId="0" xfId="0" applyFont="1" applyFill="1" applyBorder="1" applyAlignment="1">
      <alignment vertical="center" textRotation="90" wrapText="1"/>
    </xf>
    <xf numFmtId="0" fontId="4" fillId="0" borderId="12" xfId="0" applyFont="1" applyFill="1" applyBorder="1" applyAlignment="1">
      <alignment horizontal="left" vertical="center" wrapText="1"/>
    </xf>
    <xf numFmtId="166" fontId="4" fillId="0" borderId="12" xfId="4"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166" fontId="4" fillId="0" borderId="24" xfId="3" applyNumberFormat="1" applyFont="1" applyFill="1" applyBorder="1" applyAlignment="1">
      <alignment horizontal="center" vertical="center" wrapText="1"/>
    </xf>
    <xf numFmtId="166" fontId="4" fillId="0" borderId="10" xfId="4" applyNumberFormat="1" applyFont="1" applyFill="1" applyBorder="1" applyAlignment="1">
      <alignment horizontal="left" vertical="center" wrapText="1"/>
    </xf>
    <xf numFmtId="166" fontId="4" fillId="0" borderId="11" xfId="4" applyNumberFormat="1" applyFont="1" applyFill="1" applyBorder="1" applyAlignment="1">
      <alignment horizontal="left" vertical="center" wrapText="1"/>
    </xf>
    <xf numFmtId="166" fontId="4" fillId="0" borderId="20" xfId="4" applyNumberFormat="1" applyFont="1" applyFill="1" applyBorder="1" applyAlignment="1">
      <alignment horizontal="left" vertical="center" wrapText="1"/>
    </xf>
    <xf numFmtId="0" fontId="4" fillId="0" borderId="0" xfId="0" applyFont="1" applyBorder="1" applyAlignment="1">
      <alignment horizontal="center" vertical="center"/>
    </xf>
    <xf numFmtId="0" fontId="4" fillId="0" borderId="1" xfId="0" applyFont="1" applyBorder="1"/>
    <xf numFmtId="166" fontId="4" fillId="0" borderId="1" xfId="0" applyNumberFormat="1" applyFont="1" applyBorder="1"/>
    <xf numFmtId="166" fontId="4" fillId="0" borderId="19" xfId="0" applyNumberFormat="1" applyFont="1" applyBorder="1"/>
    <xf numFmtId="0" fontId="4" fillId="0" borderId="12" xfId="0" applyFont="1" applyBorder="1"/>
    <xf numFmtId="166" fontId="4" fillId="0" borderId="8" xfId="0" applyNumberFormat="1" applyFont="1" applyBorder="1"/>
    <xf numFmtId="0" fontId="4" fillId="0" borderId="8" xfId="0" applyFont="1" applyBorder="1"/>
    <xf numFmtId="0" fontId="4" fillId="0" borderId="23" xfId="0" applyFont="1" applyBorder="1"/>
    <xf numFmtId="167" fontId="4" fillId="0" borderId="1" xfId="6" applyNumberFormat="1" applyFont="1" applyFill="1" applyBorder="1" applyAlignment="1">
      <alignment horizontal="center" vertical="center"/>
    </xf>
    <xf numFmtId="167" fontId="4" fillId="0" borderId="1" xfId="6" applyNumberFormat="1" applyFont="1" applyFill="1" applyBorder="1" applyAlignment="1">
      <alignment horizontal="center" vertical="center" wrapText="1"/>
    </xf>
    <xf numFmtId="0" fontId="4" fillId="0" borderId="10" xfId="0" applyFont="1" applyBorder="1" applyAlignment="1">
      <alignment vertical="center"/>
    </xf>
    <xf numFmtId="166" fontId="4" fillId="3" borderId="1" xfId="0" applyNumberFormat="1" applyFont="1" applyFill="1" applyBorder="1"/>
    <xf numFmtId="168" fontId="4" fillId="0" borderId="0" xfId="0" applyNumberFormat="1" applyFont="1" applyFill="1"/>
    <xf numFmtId="168" fontId="4" fillId="0" borderId="0" xfId="0" applyNumberFormat="1" applyFont="1" applyFill="1" applyBorder="1"/>
    <xf numFmtId="168" fontId="4" fillId="0" borderId="0" xfId="0" applyNumberFormat="1" applyFont="1" applyFill="1" applyBorder="1" applyAlignment="1">
      <alignment horizontal="center" vertical="center"/>
    </xf>
    <xf numFmtId="164" fontId="4" fillId="0" borderId="0" xfId="7" applyFont="1" applyFill="1" applyBorder="1" applyAlignment="1">
      <alignment horizontal="left" vertical="center" wrapText="1"/>
    </xf>
    <xf numFmtId="164" fontId="4" fillId="0" borderId="0" xfId="7" quotePrefix="1" applyFont="1" applyFill="1" applyBorder="1" applyAlignment="1">
      <alignment horizontal="left" vertical="center" wrapText="1" indent="1"/>
    </xf>
    <xf numFmtId="164" fontId="4" fillId="0" borderId="0" xfId="7" applyFont="1" applyFill="1" applyBorder="1"/>
    <xf numFmtId="164" fontId="5" fillId="0" borderId="0" xfId="7"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36" xfId="0" applyFont="1" applyFill="1" applyBorder="1" applyAlignment="1">
      <alignment horizontal="center" vertical="center" wrapText="1"/>
    </xf>
    <xf numFmtId="169" fontId="4" fillId="0" borderId="0" xfId="0" applyNumberFormat="1" applyFont="1"/>
    <xf numFmtId="169" fontId="4" fillId="0" borderId="0" xfId="0" applyNumberFormat="1" applyFont="1" applyFill="1"/>
    <xf numFmtId="169" fontId="4" fillId="0" borderId="0" xfId="0" applyNumberFormat="1" applyFont="1" applyFill="1" applyBorder="1"/>
    <xf numFmtId="169" fontId="4" fillId="6" borderId="1" xfId="4" applyNumberFormat="1" applyFont="1" applyFill="1" applyBorder="1" applyAlignment="1">
      <alignment horizontal="left" vertical="center" wrapText="1"/>
    </xf>
    <xf numFmtId="169" fontId="4" fillId="6" borderId="12" xfId="4" applyNumberFormat="1" applyFont="1" applyFill="1" applyBorder="1" applyAlignment="1">
      <alignment horizontal="left" vertical="center" wrapText="1"/>
    </xf>
    <xf numFmtId="0" fontId="4" fillId="8" borderId="0" xfId="0" applyFont="1" applyFill="1" applyAlignment="1">
      <alignment horizontal="center"/>
    </xf>
    <xf numFmtId="2" fontId="4" fillId="9" borderId="1" xfId="3" applyNumberFormat="1" applyFont="1" applyFill="1" applyBorder="1" applyAlignment="1">
      <alignment horizontal="center" vertical="center" wrapText="1"/>
    </xf>
    <xf numFmtId="2" fontId="4" fillId="9" borderId="12" xfId="3" applyNumberFormat="1" applyFont="1" applyFill="1" applyBorder="1" applyAlignment="1">
      <alignment horizontal="center" vertical="center" wrapText="1"/>
    </xf>
    <xf numFmtId="0" fontId="10" fillId="8" borderId="0" xfId="0" applyFont="1" applyFill="1" applyAlignment="1">
      <alignment horizontal="left"/>
    </xf>
    <xf numFmtId="0" fontId="4" fillId="8" borderId="0" xfId="0" applyFont="1" applyFill="1" applyBorder="1" applyAlignment="1">
      <alignment horizontal="center"/>
    </xf>
    <xf numFmtId="0" fontId="4" fillId="8" borderId="0" xfId="0" applyFont="1" applyFill="1"/>
    <xf numFmtId="2" fontId="4" fillId="10" borderId="1" xfId="3" applyNumberFormat="1" applyFont="1" applyFill="1" applyBorder="1" applyAlignment="1">
      <alignment horizontal="center" vertical="center" wrapText="1"/>
    </xf>
    <xf numFmtId="2" fontId="4" fillId="10" borderId="12" xfId="3" applyNumberFormat="1" applyFont="1" applyFill="1" applyBorder="1" applyAlignment="1">
      <alignment horizontal="center" vertical="center" wrapText="1"/>
    </xf>
    <xf numFmtId="0" fontId="5" fillId="5" borderId="0" xfId="0" applyFont="1" applyFill="1" applyBorder="1" applyAlignment="1">
      <alignment horizontal="center" vertical="center"/>
    </xf>
    <xf numFmtId="169" fontId="4" fillId="12" borderId="10" xfId="4" applyNumberFormat="1" applyFont="1" applyFill="1" applyBorder="1" applyAlignment="1">
      <alignment horizontal="left" vertical="center" wrapText="1"/>
    </xf>
    <xf numFmtId="169" fontId="4" fillId="12" borderId="11" xfId="4" applyNumberFormat="1" applyFont="1" applyFill="1" applyBorder="1" applyAlignment="1">
      <alignment horizontal="left" vertical="center" wrapText="1"/>
    </xf>
    <xf numFmtId="167" fontId="5" fillId="12" borderId="2" xfId="6" applyNumberFormat="1" applyFont="1" applyFill="1" applyBorder="1" applyAlignment="1">
      <alignment horizontal="center" vertical="center"/>
    </xf>
    <xf numFmtId="0" fontId="9" fillId="11" borderId="3" xfId="0" applyFont="1" applyFill="1" applyBorder="1" applyAlignment="1">
      <alignment horizontal="center" vertical="center" wrapText="1"/>
    </xf>
    <xf numFmtId="169" fontId="9" fillId="11" borderId="1" xfId="4" applyNumberFormat="1" applyFont="1" applyFill="1" applyBorder="1" applyAlignment="1">
      <alignment horizontal="center" vertical="center" wrapText="1"/>
    </xf>
    <xf numFmtId="169" fontId="9" fillId="11" borderId="12" xfId="4" applyNumberFormat="1" applyFont="1" applyFill="1" applyBorder="1" applyAlignment="1">
      <alignment horizontal="center" vertical="center" wrapText="1"/>
    </xf>
    <xf numFmtId="169" fontId="4" fillId="13" borderId="1" xfId="0" applyNumberFormat="1" applyFont="1" applyFill="1" applyBorder="1" applyAlignment="1">
      <alignment horizontal="left" vertical="center" wrapText="1"/>
    </xf>
    <xf numFmtId="1" fontId="4" fillId="13" borderId="1" xfId="0" applyNumberFormat="1" applyFont="1" applyFill="1" applyBorder="1" applyAlignment="1">
      <alignment horizontal="center" vertical="center" wrapText="1"/>
    </xf>
    <xf numFmtId="169" fontId="4" fillId="13" borderId="12" xfId="0" applyNumberFormat="1" applyFont="1" applyFill="1" applyBorder="1" applyAlignment="1">
      <alignment horizontal="left" vertical="center" wrapText="1"/>
    </xf>
    <xf numFmtId="1" fontId="4" fillId="13" borderId="12" xfId="0" applyNumberFormat="1"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2" borderId="9" xfId="0" applyFont="1" applyFill="1" applyBorder="1" applyAlignment="1">
      <alignment horizontal="center" vertical="center"/>
    </xf>
    <xf numFmtId="0" fontId="5" fillId="0" borderId="0" xfId="0" applyFont="1"/>
    <xf numFmtId="0" fontId="9" fillId="8" borderId="3"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5" fillId="15" borderId="13" xfId="0" applyFont="1" applyFill="1" applyBorder="1" applyAlignment="1">
      <alignment horizontal="center" vertical="center" wrapText="1"/>
    </xf>
    <xf numFmtId="169" fontId="4" fillId="13" borderId="1" xfId="0" applyNumberFormat="1" applyFont="1" applyFill="1" applyBorder="1" applyAlignment="1">
      <alignment vertical="center" wrapText="1"/>
    </xf>
    <xf numFmtId="1" fontId="4" fillId="13" borderId="1" xfId="0" applyNumberFormat="1" applyFont="1" applyFill="1" applyBorder="1" applyAlignment="1">
      <alignment vertical="center" wrapText="1"/>
    </xf>
    <xf numFmtId="2" fontId="4" fillId="9" borderId="1" xfId="3" applyNumberFormat="1" applyFont="1" applyFill="1" applyBorder="1" applyAlignment="1">
      <alignment vertical="center" wrapText="1"/>
    </xf>
    <xf numFmtId="2" fontId="4" fillId="10" borderId="1" xfId="3" applyNumberFormat="1" applyFont="1" applyFill="1" applyBorder="1" applyAlignment="1">
      <alignment vertical="center" wrapText="1"/>
    </xf>
    <xf numFmtId="169" fontId="9" fillId="11" borderId="1" xfId="4" applyNumberFormat="1" applyFont="1" applyFill="1" applyBorder="1" applyAlignment="1">
      <alignment vertical="center" wrapText="1"/>
    </xf>
    <xf numFmtId="169" fontId="4" fillId="6" borderId="1" xfId="4" applyNumberFormat="1" applyFont="1" applyFill="1" applyBorder="1" applyAlignment="1">
      <alignment vertical="center" wrapText="1"/>
    </xf>
    <xf numFmtId="169" fontId="4" fillId="12" borderId="10" xfId="4" applyNumberFormat="1" applyFont="1" applyFill="1" applyBorder="1" applyAlignment="1">
      <alignment vertical="center" wrapText="1"/>
    </xf>
    <xf numFmtId="167" fontId="9" fillId="5" borderId="16" xfId="6" applyNumberFormat="1" applyFont="1" applyFill="1" applyBorder="1" applyAlignment="1">
      <alignment horizontal="center" vertical="center"/>
    </xf>
    <xf numFmtId="167" fontId="9" fillId="5" borderId="32" xfId="6" applyNumberFormat="1" applyFont="1" applyFill="1" applyBorder="1" applyAlignment="1">
      <alignment horizontal="center" vertical="center"/>
    </xf>
    <xf numFmtId="167" fontId="9" fillId="5" borderId="33" xfId="6" applyNumberFormat="1" applyFont="1" applyFill="1" applyBorder="1" applyAlignment="1">
      <alignment horizontal="center" vertical="center"/>
    </xf>
    <xf numFmtId="167" fontId="9" fillId="3" borderId="2" xfId="6" applyNumberFormat="1" applyFont="1" applyFill="1" applyBorder="1" applyAlignment="1">
      <alignment horizontal="center" vertical="center"/>
    </xf>
    <xf numFmtId="169" fontId="9" fillId="5" borderId="16" xfId="0" applyNumberFormat="1" applyFont="1" applyFill="1" applyBorder="1" applyAlignment="1">
      <alignment horizontal="right"/>
    </xf>
    <xf numFmtId="169" fontId="9" fillId="5" borderId="32" xfId="0" applyNumberFormat="1" applyFont="1" applyFill="1" applyBorder="1" applyAlignment="1">
      <alignment horizontal="right"/>
    </xf>
    <xf numFmtId="169" fontId="9" fillId="5" borderId="33" xfId="0" applyNumberFormat="1" applyFont="1" applyFill="1" applyBorder="1" applyAlignment="1">
      <alignment horizontal="right"/>
    </xf>
    <xf numFmtId="169" fontId="9" fillId="17" borderId="16" xfId="0" applyNumberFormat="1" applyFont="1" applyFill="1" applyBorder="1" applyAlignment="1">
      <alignment horizontal="right"/>
    </xf>
    <xf numFmtId="0" fontId="4" fillId="17" borderId="28" xfId="0" applyFont="1" applyFill="1" applyBorder="1"/>
    <xf numFmtId="0" fontId="4" fillId="17" borderId="29" xfId="0" applyFont="1" applyFill="1" applyBorder="1"/>
    <xf numFmtId="0" fontId="4" fillId="17" borderId="29" xfId="3" applyNumberFormat="1" applyFont="1" applyFill="1" applyBorder="1" applyAlignment="1">
      <alignment horizontal="left" vertical="center" wrapText="1"/>
    </xf>
    <xf numFmtId="0" fontId="4" fillId="17" borderId="35" xfId="3" applyNumberFormat="1" applyFont="1" applyFill="1" applyBorder="1" applyAlignment="1">
      <alignment horizontal="center" vertical="center" wrapText="1"/>
    </xf>
    <xf numFmtId="169" fontId="4" fillId="17" borderId="39" xfId="0" applyNumberFormat="1" applyFont="1" applyFill="1" applyBorder="1"/>
    <xf numFmtId="169" fontId="4" fillId="17" borderId="25" xfId="0" applyNumberFormat="1" applyFont="1" applyFill="1" applyBorder="1"/>
    <xf numFmtId="169" fontId="5" fillId="17" borderId="32" xfId="0" applyNumberFormat="1" applyFont="1" applyFill="1" applyBorder="1" applyAlignment="1">
      <alignment horizontal="right"/>
    </xf>
    <xf numFmtId="169" fontId="5" fillId="17" borderId="33" xfId="0" applyNumberFormat="1" applyFont="1" applyFill="1" applyBorder="1" applyAlignment="1">
      <alignment horizontal="right"/>
    </xf>
    <xf numFmtId="167" fontId="5" fillId="17" borderId="2" xfId="6" applyNumberFormat="1" applyFont="1" applyFill="1" applyBorder="1" applyAlignment="1">
      <alignment horizontal="center" vertical="center"/>
    </xf>
    <xf numFmtId="0" fontId="4" fillId="17" borderId="2" xfId="0" applyFont="1" applyFill="1" applyBorder="1" applyAlignment="1">
      <alignment horizontal="center" vertical="center" wrapText="1"/>
    </xf>
    <xf numFmtId="0" fontId="4" fillId="17" borderId="36" xfId="0" applyFont="1" applyFill="1" applyBorder="1" applyAlignment="1">
      <alignment horizontal="center" vertical="center" wrapText="1"/>
    </xf>
    <xf numFmtId="167" fontId="5" fillId="18" borderId="16" xfId="6" applyNumberFormat="1" applyFont="1" applyFill="1" applyBorder="1" applyAlignment="1">
      <alignment horizontal="center" vertical="center"/>
    </xf>
    <xf numFmtId="167" fontId="5" fillId="18" borderId="32" xfId="6" applyNumberFormat="1" applyFont="1" applyFill="1" applyBorder="1" applyAlignment="1">
      <alignment horizontal="center" vertical="center"/>
    </xf>
    <xf numFmtId="167" fontId="5" fillId="18" borderId="33" xfId="6" applyNumberFormat="1" applyFont="1" applyFill="1" applyBorder="1" applyAlignment="1">
      <alignment horizontal="center" vertical="center"/>
    </xf>
    <xf numFmtId="0" fontId="5" fillId="17" borderId="36" xfId="0" applyFont="1" applyFill="1" applyBorder="1" applyAlignment="1">
      <alignment horizontal="center" vertical="center" wrapText="1"/>
    </xf>
    <xf numFmtId="0" fontId="4" fillId="19" borderId="28" xfId="0" applyFont="1" applyFill="1" applyBorder="1"/>
    <xf numFmtId="0" fontId="4" fillId="19" borderId="29" xfId="0" applyFont="1" applyFill="1" applyBorder="1"/>
    <xf numFmtId="0" fontId="4" fillId="19" borderId="35" xfId="0" applyFont="1" applyFill="1" applyBorder="1"/>
    <xf numFmtId="169" fontId="4" fillId="19" borderId="39" xfId="0" applyNumberFormat="1" applyFont="1" applyFill="1" applyBorder="1"/>
    <xf numFmtId="169" fontId="4" fillId="19" borderId="25" xfId="0" applyNumberFormat="1" applyFont="1" applyFill="1" applyBorder="1"/>
    <xf numFmtId="169" fontId="4" fillId="19" borderId="26" xfId="0" applyNumberFormat="1" applyFont="1" applyFill="1" applyBorder="1"/>
    <xf numFmtId="0" fontId="5" fillId="19" borderId="29" xfId="0" applyFont="1" applyFill="1" applyBorder="1" applyAlignment="1">
      <alignment horizontal="left"/>
    </xf>
    <xf numFmtId="0" fontId="10" fillId="8" borderId="40" xfId="0" applyFont="1" applyFill="1" applyBorder="1" applyAlignment="1">
      <alignment horizontal="center" vertical="center" wrapText="1"/>
    </xf>
    <xf numFmtId="0" fontId="10" fillId="11" borderId="40" xfId="0" applyFont="1" applyFill="1" applyBorder="1" applyAlignment="1">
      <alignment horizontal="center" vertical="center" wrapText="1"/>
    </xf>
    <xf numFmtId="3" fontId="0" fillId="0" borderId="0" xfId="0" applyNumberFormat="1"/>
    <xf numFmtId="0" fontId="12" fillId="21" borderId="41" xfId="0" applyFont="1" applyFill="1" applyBorder="1" applyAlignment="1">
      <alignment horizontal="right"/>
    </xf>
    <xf numFmtId="0" fontId="4" fillId="19" borderId="40" xfId="0" applyFont="1" applyFill="1" applyBorder="1" applyAlignment="1">
      <alignment horizontal="left" vertical="center" wrapText="1"/>
    </xf>
    <xf numFmtId="0" fontId="0" fillId="19" borderId="40" xfId="0" applyFill="1" applyBorder="1"/>
    <xf numFmtId="0" fontId="9" fillId="16" borderId="0" xfId="0" applyFont="1" applyFill="1"/>
    <xf numFmtId="3" fontId="12" fillId="21" borderId="40" xfId="0" applyNumberFormat="1" applyFont="1" applyFill="1" applyBorder="1"/>
    <xf numFmtId="0" fontId="11" fillId="0" borderId="0" xfId="0" applyFont="1"/>
    <xf numFmtId="0" fontId="9" fillId="11" borderId="40" xfId="0" applyFont="1" applyFill="1" applyBorder="1" applyAlignment="1">
      <alignment horizontal="center" vertical="center" wrapText="1"/>
    </xf>
    <xf numFmtId="2" fontId="4" fillId="9" borderId="40" xfId="3" applyNumberFormat="1" applyFont="1" applyFill="1" applyBorder="1" applyAlignment="1">
      <alignment horizontal="center" vertical="center" wrapText="1"/>
    </xf>
    <xf numFmtId="3" fontId="4" fillId="9" borderId="40" xfId="3" applyNumberFormat="1" applyFont="1" applyFill="1" applyBorder="1" applyAlignment="1">
      <alignment horizontal="center" vertical="center" wrapText="1"/>
    </xf>
    <xf numFmtId="169" fontId="4" fillId="13" borderId="40" xfId="0" applyNumberFormat="1" applyFont="1" applyFill="1" applyBorder="1" applyAlignment="1">
      <alignment horizontal="left" vertical="center" wrapText="1"/>
    </xf>
    <xf numFmtId="1" fontId="4" fillId="13" borderId="40" xfId="0" applyNumberFormat="1" applyFont="1" applyFill="1" applyBorder="1" applyAlignment="1">
      <alignment horizontal="center" vertical="center" wrapText="1"/>
    </xf>
    <xf numFmtId="169" fontId="4" fillId="4" borderId="40" xfId="0" applyNumberFormat="1" applyFont="1" applyFill="1" applyBorder="1" applyAlignment="1">
      <alignment horizontal="left" vertical="center" wrapText="1"/>
    </xf>
    <xf numFmtId="1" fontId="4" fillId="4" borderId="40" xfId="0" applyNumberFormat="1" applyFont="1" applyFill="1" applyBorder="1" applyAlignment="1">
      <alignment horizontal="center" vertical="center" wrapText="1"/>
    </xf>
    <xf numFmtId="0" fontId="5" fillId="15" borderId="40" xfId="0" applyFont="1" applyFill="1" applyBorder="1" applyAlignment="1">
      <alignment horizontal="center" vertical="center" wrapText="1"/>
    </xf>
    <xf numFmtId="169" fontId="4" fillId="13" borderId="40" xfId="0" applyNumberFormat="1" applyFont="1" applyFill="1" applyBorder="1" applyAlignment="1">
      <alignment vertical="center" wrapText="1"/>
    </xf>
    <xf numFmtId="1" fontId="4" fillId="13" borderId="40" xfId="0" applyNumberFormat="1" applyFont="1" applyFill="1" applyBorder="1" applyAlignment="1">
      <alignment vertical="center" wrapText="1"/>
    </xf>
    <xf numFmtId="3" fontId="4" fillId="0" borderId="40" xfId="3" applyNumberFormat="1" applyFont="1" applyFill="1" applyBorder="1" applyAlignment="1">
      <alignment horizontal="center" vertical="center" wrapText="1"/>
    </xf>
    <xf numFmtId="0" fontId="5" fillId="11" borderId="40" xfId="0" applyFont="1" applyFill="1" applyBorder="1"/>
    <xf numFmtId="9" fontId="5" fillId="11" borderId="40" xfId="0" applyNumberFormat="1" applyFont="1" applyFill="1" applyBorder="1"/>
    <xf numFmtId="0" fontId="5" fillId="10" borderId="40" xfId="0" applyFont="1" applyFill="1" applyBorder="1"/>
    <xf numFmtId="9" fontId="5" fillId="10" borderId="40" xfId="0" applyNumberFormat="1" applyFont="1" applyFill="1" applyBorder="1"/>
    <xf numFmtId="0" fontId="4" fillId="9" borderId="1" xfId="3" applyNumberFormat="1" applyFont="1" applyFill="1" applyBorder="1" applyAlignment="1">
      <alignment horizontal="center" vertical="center" wrapText="1"/>
    </xf>
    <xf numFmtId="0" fontId="4" fillId="9" borderId="12" xfId="3" applyNumberFormat="1" applyFont="1" applyFill="1" applyBorder="1" applyAlignment="1">
      <alignment horizontal="center" vertical="center" wrapText="1"/>
    </xf>
    <xf numFmtId="2" fontId="4" fillId="10" borderId="1" xfId="3" applyNumberFormat="1" applyFont="1" applyFill="1" applyBorder="1" applyAlignment="1">
      <alignment horizontal="center" wrapText="1"/>
    </xf>
    <xf numFmtId="2" fontId="4" fillId="10" borderId="12" xfId="3" applyNumberFormat="1" applyFont="1" applyFill="1" applyBorder="1" applyAlignment="1">
      <alignment horizontal="center" wrapText="1"/>
    </xf>
    <xf numFmtId="9" fontId="9" fillId="11" borderId="1" xfId="5" applyFont="1" applyFill="1" applyBorder="1" applyAlignment="1">
      <alignment horizontal="center" vertical="center" wrapText="1"/>
    </xf>
    <xf numFmtId="9" fontId="9" fillId="11" borderId="12" xfId="5" applyFont="1" applyFill="1" applyBorder="1" applyAlignment="1">
      <alignment horizontal="center" vertical="center" wrapText="1"/>
    </xf>
    <xf numFmtId="0" fontId="5" fillId="14" borderId="17" xfId="0" applyFont="1" applyFill="1" applyBorder="1" applyAlignment="1">
      <alignment horizontal="center" vertical="center" wrapText="1"/>
    </xf>
    <xf numFmtId="169" fontId="4" fillId="6" borderId="19" xfId="4" applyNumberFormat="1" applyFont="1" applyFill="1" applyBorder="1" applyAlignment="1">
      <alignment horizontal="left" vertical="center" wrapText="1"/>
    </xf>
    <xf numFmtId="169" fontId="4" fillId="6" borderId="20" xfId="4" applyNumberFormat="1" applyFont="1" applyFill="1" applyBorder="1" applyAlignment="1">
      <alignment horizontal="left" vertical="center" wrapText="1"/>
    </xf>
    <xf numFmtId="169" fontId="4" fillId="13" borderId="6" xfId="0" applyNumberFormat="1" applyFont="1" applyFill="1" applyBorder="1" applyAlignment="1">
      <alignment horizontal="left" vertical="center" wrapText="1"/>
    </xf>
    <xf numFmtId="0" fontId="9" fillId="8" borderId="4" xfId="0" applyFont="1" applyFill="1" applyBorder="1" applyAlignment="1">
      <alignment horizontal="center" vertical="center" wrapText="1"/>
    </xf>
    <xf numFmtId="2" fontId="4" fillId="9" borderId="27" xfId="3" applyNumberFormat="1" applyFont="1" applyFill="1" applyBorder="1" applyAlignment="1">
      <alignment horizontal="center" vertical="center" wrapText="1"/>
    </xf>
    <xf numFmtId="2" fontId="4" fillId="9" borderId="6" xfId="3" applyNumberFormat="1" applyFont="1" applyFill="1" applyBorder="1" applyAlignment="1">
      <alignment horizontal="center" vertical="center" wrapText="1"/>
    </xf>
    <xf numFmtId="2" fontId="4" fillId="9" borderId="31" xfId="3" applyNumberFormat="1" applyFont="1" applyFill="1" applyBorder="1" applyAlignment="1">
      <alignment horizontal="center" vertical="center" wrapText="1"/>
    </xf>
    <xf numFmtId="0" fontId="5" fillId="14" borderId="7" xfId="0" applyFont="1" applyFill="1" applyBorder="1" applyAlignment="1">
      <alignment horizontal="center" vertical="center" wrapText="1"/>
    </xf>
    <xf numFmtId="2" fontId="4" fillId="9" borderId="15" xfId="3" applyNumberFormat="1" applyFont="1" applyFill="1" applyBorder="1" applyAlignment="1">
      <alignment horizontal="center" vertical="center" wrapText="1"/>
    </xf>
    <xf numFmtId="2" fontId="4" fillId="9" borderId="42" xfId="3" applyNumberFormat="1" applyFont="1" applyFill="1" applyBorder="1" applyAlignment="1">
      <alignment horizontal="center" vertical="center" wrapText="1"/>
    </xf>
    <xf numFmtId="2" fontId="4" fillId="9" borderId="23" xfId="3" applyNumberFormat="1" applyFont="1" applyFill="1" applyBorder="1" applyAlignment="1">
      <alignment horizontal="center" vertical="center" wrapText="1"/>
    </xf>
    <xf numFmtId="1" fontId="4" fillId="9" borderId="1" xfId="3" applyNumberFormat="1" applyFont="1" applyFill="1" applyBorder="1" applyAlignment="1">
      <alignment horizontal="center" vertical="center" wrapText="1"/>
    </xf>
    <xf numFmtId="1" fontId="4" fillId="9" borderId="12" xfId="3" applyNumberFormat="1" applyFont="1" applyFill="1" applyBorder="1" applyAlignment="1">
      <alignment horizontal="center" vertical="center" wrapText="1"/>
    </xf>
    <xf numFmtId="0" fontId="4" fillId="7" borderId="1"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4" fillId="9" borderId="1" xfId="3" applyNumberFormat="1" applyFont="1" applyFill="1" applyBorder="1" applyAlignment="1">
      <alignment horizontal="center" vertical="center"/>
    </xf>
    <xf numFmtId="0" fontId="4" fillId="9" borderId="12" xfId="3" applyNumberFormat="1" applyFont="1" applyFill="1" applyBorder="1" applyAlignment="1">
      <alignment horizontal="center" vertical="center"/>
    </xf>
    <xf numFmtId="168" fontId="9" fillId="11" borderId="1" xfId="4" applyNumberFormat="1" applyFont="1" applyFill="1" applyBorder="1" applyAlignment="1">
      <alignment horizontal="center" vertical="center" wrapText="1"/>
    </xf>
    <xf numFmtId="168" fontId="9" fillId="11" borderId="12" xfId="4" applyNumberFormat="1" applyFont="1" applyFill="1" applyBorder="1" applyAlignment="1">
      <alignment horizontal="center" vertical="center" wrapText="1"/>
    </xf>
    <xf numFmtId="0" fontId="13" fillId="20" borderId="0" xfId="0" applyFont="1" applyFill="1" applyBorder="1" applyAlignment="1">
      <alignment horizontal="right"/>
    </xf>
    <xf numFmtId="3" fontId="4" fillId="19" borderId="0" xfId="0" applyNumberFormat="1" applyFont="1" applyFill="1" applyBorder="1" applyAlignment="1">
      <alignment horizontal="left" vertical="center" wrapText="1"/>
    </xf>
    <xf numFmtId="169" fontId="4" fillId="12" borderId="30" xfId="4" applyNumberFormat="1" applyFont="1" applyFill="1" applyBorder="1" applyAlignment="1">
      <alignment horizontal="left" vertical="center" wrapText="1"/>
    </xf>
    <xf numFmtId="169" fontId="4" fillId="12" borderId="38" xfId="4" applyNumberFormat="1" applyFont="1" applyFill="1" applyBorder="1" applyAlignment="1">
      <alignment horizontal="left" vertical="center" wrapText="1"/>
    </xf>
    <xf numFmtId="167" fontId="5" fillId="12" borderId="16" xfId="6" applyNumberFormat="1" applyFont="1" applyFill="1" applyBorder="1" applyAlignment="1">
      <alignment horizontal="center" vertical="center"/>
    </xf>
    <xf numFmtId="169" fontId="4" fillId="12" borderId="30" xfId="4" applyNumberFormat="1" applyFont="1" applyFill="1" applyBorder="1" applyAlignment="1">
      <alignment vertical="center" wrapText="1"/>
    </xf>
    <xf numFmtId="0" fontId="5" fillId="17" borderId="29" xfId="0" applyFont="1" applyFill="1" applyBorder="1" applyAlignment="1">
      <alignment horizontal="center" vertical="center" wrapText="1"/>
    </xf>
    <xf numFmtId="0" fontId="5" fillId="18" borderId="43" xfId="0" applyFont="1" applyFill="1" applyBorder="1" applyAlignment="1">
      <alignment horizontal="center" vertical="center"/>
    </xf>
    <xf numFmtId="0" fontId="5" fillId="22" borderId="0" xfId="0" applyFont="1" applyFill="1" applyBorder="1" applyAlignment="1">
      <alignment horizontal="center" vertical="center"/>
    </xf>
    <xf numFmtId="167" fontId="5" fillId="22" borderId="16" xfId="6" applyNumberFormat="1" applyFont="1" applyFill="1" applyBorder="1" applyAlignment="1">
      <alignment horizontal="center" vertical="center"/>
    </xf>
    <xf numFmtId="169" fontId="4" fillId="18" borderId="1" xfId="4" applyNumberFormat="1" applyFont="1" applyFill="1" applyBorder="1" applyAlignment="1">
      <alignment horizontal="left" vertical="center" wrapText="1"/>
    </xf>
    <xf numFmtId="167" fontId="5" fillId="22" borderId="32" xfId="6" applyNumberFormat="1" applyFont="1" applyFill="1" applyBorder="1" applyAlignment="1">
      <alignment horizontal="center" vertical="center"/>
    </xf>
    <xf numFmtId="167" fontId="5" fillId="22" borderId="33" xfId="6" applyNumberFormat="1" applyFont="1" applyFill="1" applyBorder="1" applyAlignment="1">
      <alignment horizontal="center" vertical="center"/>
    </xf>
    <xf numFmtId="0" fontId="5" fillId="12" borderId="37" xfId="0" applyFont="1" applyFill="1" applyBorder="1" applyAlignment="1">
      <alignment horizontal="center" vertical="center"/>
    </xf>
    <xf numFmtId="169" fontId="4" fillId="0" borderId="44" xfId="0" applyNumberFormat="1" applyFont="1" applyFill="1" applyBorder="1"/>
    <xf numFmtId="0" fontId="5" fillId="18" borderId="37" xfId="0" applyFont="1" applyFill="1" applyBorder="1" applyAlignment="1">
      <alignment horizontal="center" vertical="center"/>
    </xf>
    <xf numFmtId="0" fontId="5" fillId="18" borderId="34" xfId="0" applyFont="1" applyFill="1" applyBorder="1" applyAlignment="1">
      <alignment horizontal="center" vertical="center"/>
    </xf>
    <xf numFmtId="169" fontId="4" fillId="18" borderId="18" xfId="4" applyNumberFormat="1" applyFont="1" applyFill="1" applyBorder="1" applyAlignment="1">
      <alignment horizontal="left" vertical="center" wrapText="1"/>
    </xf>
    <xf numFmtId="169" fontId="4" fillId="18" borderId="19" xfId="4" applyNumberFormat="1" applyFont="1" applyFill="1" applyBorder="1" applyAlignment="1">
      <alignment horizontal="left" vertical="center" wrapText="1"/>
    </xf>
    <xf numFmtId="169" fontId="4" fillId="18" borderId="14" xfId="4" applyNumberFormat="1" applyFont="1" applyFill="1" applyBorder="1" applyAlignment="1">
      <alignment horizontal="left" vertical="center" wrapText="1"/>
    </xf>
    <xf numFmtId="169" fontId="4" fillId="18" borderId="12" xfId="4" applyNumberFormat="1" applyFont="1" applyFill="1" applyBorder="1" applyAlignment="1">
      <alignment horizontal="left" vertical="center" wrapText="1"/>
    </xf>
    <xf numFmtId="169" fontId="4" fillId="18" borderId="20" xfId="4" applyNumberFormat="1" applyFont="1" applyFill="1" applyBorder="1" applyAlignment="1">
      <alignment horizontal="left" vertical="center" wrapText="1"/>
    </xf>
    <xf numFmtId="0" fontId="5" fillId="18" borderId="13" xfId="0" applyFont="1" applyFill="1" applyBorder="1" applyAlignment="1">
      <alignment horizontal="center" vertical="center"/>
    </xf>
    <xf numFmtId="0" fontId="5" fillId="18" borderId="3" xfId="0" applyFont="1" applyFill="1" applyBorder="1" applyAlignment="1">
      <alignment horizontal="center" vertical="center"/>
    </xf>
    <xf numFmtId="0" fontId="5" fillId="18" borderId="17" xfId="0" applyFont="1" applyFill="1" applyBorder="1" applyAlignment="1">
      <alignment horizontal="center" vertical="center"/>
    </xf>
    <xf numFmtId="0" fontId="4" fillId="0" borderId="45" xfId="0" applyFont="1" applyFill="1" applyBorder="1" applyAlignment="1">
      <alignment horizontal="center" vertical="center" wrapText="1"/>
    </xf>
    <xf numFmtId="0" fontId="14" fillId="15" borderId="0" xfId="0" applyFont="1" applyFill="1"/>
    <xf numFmtId="0" fontId="14" fillId="23" borderId="0" xfId="0" applyFont="1" applyFill="1"/>
    <xf numFmtId="0" fontId="10" fillId="11" borderId="46" xfId="0" applyFont="1" applyFill="1" applyBorder="1" applyAlignment="1">
      <alignment horizontal="center" vertical="center" wrapText="1"/>
    </xf>
    <xf numFmtId="0" fontId="9" fillId="16" borderId="0" xfId="0" applyFont="1" applyFill="1" applyBorder="1"/>
    <xf numFmtId="0" fontId="0" fillId="0" borderId="0" xfId="0" applyBorder="1"/>
    <xf numFmtId="3" fontId="0" fillId="0" borderId="0" xfId="0" applyNumberFormat="1" applyBorder="1"/>
    <xf numFmtId="3" fontId="13" fillId="0" borderId="0" xfId="0" applyNumberFormat="1" applyFont="1" applyBorder="1"/>
    <xf numFmtId="0" fontId="10" fillId="16" borderId="0" xfId="0" applyFont="1" applyFill="1" applyBorder="1"/>
    <xf numFmtId="3" fontId="16" fillId="23" borderId="0" xfId="0" applyNumberFormat="1" applyFont="1" applyFill="1" applyBorder="1"/>
    <xf numFmtId="3" fontId="0" fillId="23" borderId="0" xfId="0" applyNumberFormat="1" applyFill="1" applyBorder="1"/>
    <xf numFmtId="0" fontId="14" fillId="15" borderId="47" xfId="0" applyFont="1" applyFill="1" applyBorder="1"/>
    <xf numFmtId="0" fontId="10" fillId="8" borderId="48" xfId="0" applyFont="1" applyFill="1" applyBorder="1" applyAlignment="1">
      <alignment horizontal="center" vertical="center" wrapText="1"/>
    </xf>
    <xf numFmtId="0" fontId="10" fillId="8" borderId="49" xfId="0" applyFont="1" applyFill="1" applyBorder="1" applyAlignment="1">
      <alignment horizontal="center" vertical="center" wrapText="1"/>
    </xf>
    <xf numFmtId="0" fontId="9" fillId="16" borderId="50" xfId="0" applyFont="1" applyFill="1" applyBorder="1"/>
    <xf numFmtId="0" fontId="0" fillId="0" borderId="51" xfId="0" applyBorder="1"/>
    <xf numFmtId="0" fontId="4" fillId="19" borderId="52" xfId="0" applyFont="1" applyFill="1" applyBorder="1" applyAlignment="1">
      <alignment horizontal="left" vertical="center" wrapText="1"/>
    </xf>
    <xf numFmtId="3" fontId="0" fillId="0" borderId="51" xfId="0" applyNumberFormat="1" applyBorder="1"/>
    <xf numFmtId="0" fontId="0" fillId="19" borderId="52" xfId="0" applyFill="1" applyBorder="1"/>
    <xf numFmtId="0" fontId="12" fillId="21" borderId="53" xfId="0" applyFont="1" applyFill="1" applyBorder="1" applyAlignment="1">
      <alignment horizontal="right"/>
    </xf>
    <xf numFmtId="3" fontId="12" fillId="21" borderId="54" xfId="0" applyNumberFormat="1" applyFont="1" applyFill="1" applyBorder="1"/>
    <xf numFmtId="0" fontId="13" fillId="20" borderId="53" xfId="0" applyFont="1" applyFill="1" applyBorder="1" applyAlignment="1">
      <alignment horizontal="right"/>
    </xf>
    <xf numFmtId="3" fontId="13" fillId="0" borderId="51" xfId="0" applyNumberFormat="1" applyFont="1" applyBorder="1"/>
    <xf numFmtId="0" fontId="10" fillId="16" borderId="50" xfId="0" applyFont="1" applyFill="1" applyBorder="1"/>
    <xf numFmtId="0" fontId="4" fillId="14" borderId="52" xfId="0" applyFont="1" applyFill="1" applyBorder="1" applyAlignment="1">
      <alignment horizontal="left" vertical="center" wrapText="1"/>
    </xf>
    <xf numFmtId="0" fontId="12" fillId="21" borderId="55" xfId="0" applyFont="1" applyFill="1" applyBorder="1" applyAlignment="1">
      <alignment horizontal="right"/>
    </xf>
    <xf numFmtId="3" fontId="12" fillId="21" borderId="56" xfId="0" applyNumberFormat="1" applyFont="1" applyFill="1" applyBorder="1"/>
    <xf numFmtId="3" fontId="12" fillId="21" borderId="57" xfId="0" applyNumberFormat="1" applyFont="1" applyFill="1" applyBorder="1"/>
    <xf numFmtId="0" fontId="0" fillId="0" borderId="50" xfId="0" applyBorder="1"/>
    <xf numFmtId="0" fontId="0" fillId="0" borderId="58" xfId="0" applyBorder="1"/>
    <xf numFmtId="0" fontId="0" fillId="0" borderId="59" xfId="0" applyBorder="1"/>
    <xf numFmtId="0" fontId="0" fillId="3" borderId="0" xfId="0" applyFill="1"/>
    <xf numFmtId="0" fontId="17" fillId="0" borderId="2" xfId="0" applyFont="1" applyBorder="1" applyAlignment="1">
      <alignment vertical="center" wrapText="1"/>
    </xf>
    <xf numFmtId="0" fontId="17" fillId="0" borderId="33" xfId="0" applyFont="1" applyBorder="1" applyAlignment="1">
      <alignment vertical="center" wrapText="1"/>
    </xf>
    <xf numFmtId="0" fontId="17" fillId="0" borderId="33" xfId="0" applyFont="1" applyBorder="1" applyAlignment="1">
      <alignment horizontal="left" vertical="center" wrapText="1" indent="1"/>
    </xf>
    <xf numFmtId="0" fontId="15" fillId="0" borderId="60" xfId="0" applyFont="1" applyBorder="1" applyAlignment="1">
      <alignment vertical="center" wrapText="1"/>
    </xf>
    <xf numFmtId="0" fontId="15" fillId="0" borderId="33" xfId="0" applyFont="1" applyBorder="1" applyAlignment="1">
      <alignment vertical="center" wrapText="1"/>
    </xf>
    <xf numFmtId="0" fontId="15" fillId="0" borderId="2" xfId="0" applyFont="1" applyBorder="1" applyAlignment="1">
      <alignment horizontal="left" vertical="center" wrapText="1"/>
    </xf>
    <xf numFmtId="170" fontId="0" fillId="0" borderId="0" xfId="0" applyNumberFormat="1"/>
    <xf numFmtId="167" fontId="5" fillId="12" borderId="33" xfId="6" applyNumberFormat="1" applyFont="1" applyFill="1" applyBorder="1" applyAlignment="1">
      <alignment horizontal="center" vertical="center"/>
    </xf>
    <xf numFmtId="167" fontId="9" fillId="5" borderId="64" xfId="6" applyNumberFormat="1" applyFont="1" applyFill="1" applyBorder="1" applyAlignment="1">
      <alignment horizontal="center" vertical="center"/>
    </xf>
    <xf numFmtId="167" fontId="9" fillId="5" borderId="65" xfId="6" applyNumberFormat="1" applyFont="1" applyFill="1" applyBorder="1" applyAlignment="1">
      <alignment horizontal="center" vertical="center"/>
    </xf>
    <xf numFmtId="167" fontId="9" fillId="5" borderId="66" xfId="6" applyNumberFormat="1" applyFont="1" applyFill="1" applyBorder="1" applyAlignment="1">
      <alignment horizontal="center" vertical="center"/>
    </xf>
    <xf numFmtId="0" fontId="4" fillId="23" borderId="0" xfId="0" applyFont="1" applyFill="1"/>
    <xf numFmtId="169" fontId="4" fillId="23" borderId="0" xfId="0" applyNumberFormat="1" applyFont="1" applyFill="1"/>
    <xf numFmtId="169" fontId="15" fillId="0" borderId="26" xfId="7" applyNumberFormat="1" applyFont="1" applyBorder="1" applyAlignment="1">
      <alignment vertical="center" wrapText="1"/>
    </xf>
    <xf numFmtId="169" fontId="15" fillId="0" borderId="2" xfId="7" applyNumberFormat="1" applyFont="1" applyBorder="1" applyAlignment="1">
      <alignment vertical="center" wrapText="1"/>
    </xf>
    <xf numFmtId="169" fontId="15" fillId="0" borderId="33" xfId="7" applyNumberFormat="1" applyFont="1" applyBorder="1" applyAlignment="1">
      <alignment vertical="center" wrapText="1"/>
    </xf>
    <xf numFmtId="170" fontId="0" fillId="23" borderId="0" xfId="0" applyNumberFormat="1" applyFill="1"/>
    <xf numFmtId="170" fontId="0" fillId="4" borderId="0" xfId="0" applyNumberFormat="1" applyFill="1"/>
    <xf numFmtId="170" fontId="0" fillId="0" borderId="0" xfId="7" applyNumberFormat="1" applyFont="1"/>
    <xf numFmtId="0" fontId="15" fillId="0" borderId="26" xfId="0" applyFont="1" applyFill="1" applyBorder="1" applyAlignment="1">
      <alignment vertical="center" wrapText="1"/>
    </xf>
    <xf numFmtId="0" fontId="19" fillId="0" borderId="26" xfId="0" applyFont="1" applyBorder="1" applyAlignment="1">
      <alignment vertical="center" wrapText="1"/>
    </xf>
    <xf numFmtId="0" fontId="19" fillId="0" borderId="60" xfId="0" applyFont="1" applyBorder="1" applyAlignment="1">
      <alignment vertical="center" wrapText="1"/>
    </xf>
    <xf numFmtId="0" fontId="19" fillId="0" borderId="2" xfId="0" applyFont="1" applyBorder="1" applyAlignment="1">
      <alignment vertical="center" wrapText="1"/>
    </xf>
    <xf numFmtId="1" fontId="4" fillId="10" borderId="31" xfId="3" applyNumberFormat="1" applyFont="1" applyFill="1" applyBorder="1" applyAlignment="1">
      <alignment horizontal="center" vertical="center" wrapText="1"/>
    </xf>
    <xf numFmtId="0" fontId="19" fillId="0" borderId="26" xfId="0" applyFont="1" applyFill="1" applyBorder="1" applyAlignment="1">
      <alignment vertical="center" wrapText="1"/>
    </xf>
    <xf numFmtId="0" fontId="19" fillId="0" borderId="2" xfId="0" applyFont="1" applyFill="1" applyBorder="1" applyAlignment="1">
      <alignment vertical="center" wrapText="1"/>
    </xf>
    <xf numFmtId="0" fontId="19" fillId="0" borderId="60" xfId="0" applyFont="1" applyFill="1" applyBorder="1" applyAlignment="1">
      <alignment vertical="center" wrapText="1"/>
    </xf>
    <xf numFmtId="0" fontId="19" fillId="0" borderId="33" xfId="0" applyFont="1" applyFill="1" applyBorder="1" applyAlignment="1">
      <alignment vertical="center" wrapText="1"/>
    </xf>
    <xf numFmtId="169" fontId="15" fillId="0" borderId="2" xfId="7" applyNumberFormat="1" applyFont="1" applyFill="1" applyBorder="1" applyAlignment="1">
      <alignment vertical="center" wrapText="1"/>
    </xf>
    <xf numFmtId="0" fontId="19" fillId="0" borderId="63" xfId="0" applyFont="1" applyFill="1" applyBorder="1" applyAlignment="1">
      <alignment vertical="center" wrapText="1"/>
    </xf>
    <xf numFmtId="169" fontId="4" fillId="24" borderId="1" xfId="0" applyNumberFormat="1" applyFont="1" applyFill="1" applyBorder="1" applyAlignment="1">
      <alignment horizontal="left" vertical="center" wrapText="1"/>
    </xf>
    <xf numFmtId="169" fontId="4" fillId="7" borderId="12" xfId="0" applyNumberFormat="1" applyFont="1" applyFill="1" applyBorder="1" applyAlignment="1">
      <alignment horizontal="left" vertical="center" wrapText="1"/>
    </xf>
    <xf numFmtId="169" fontId="4" fillId="7" borderId="1" xfId="0" applyNumberFormat="1" applyFont="1" applyFill="1" applyBorder="1" applyAlignment="1">
      <alignment horizontal="left" vertical="center" wrapText="1"/>
    </xf>
    <xf numFmtId="169" fontId="4" fillId="7" borderId="1" xfId="0" applyNumberFormat="1" applyFont="1" applyFill="1" applyBorder="1" applyAlignment="1">
      <alignment vertical="center" wrapText="1"/>
    </xf>
    <xf numFmtId="10" fontId="0" fillId="0" borderId="0" xfId="5" applyNumberFormat="1" applyFont="1"/>
    <xf numFmtId="169" fontId="4" fillId="23" borderId="1" xfId="0" applyNumberFormat="1" applyFont="1" applyFill="1" applyBorder="1" applyAlignment="1">
      <alignment horizontal="left" vertical="center" wrapText="1"/>
    </xf>
    <xf numFmtId="169" fontId="4" fillId="6" borderId="19" xfId="4" applyNumberFormat="1" applyFont="1" applyFill="1" applyBorder="1" applyAlignment="1">
      <alignment vertical="center" wrapText="1"/>
    </xf>
    <xf numFmtId="169" fontId="4" fillId="13" borderId="12" xfId="0" applyNumberFormat="1" applyFont="1" applyFill="1" applyBorder="1" applyAlignment="1">
      <alignment vertical="center" wrapText="1"/>
    </xf>
    <xf numFmtId="164" fontId="0" fillId="0" borderId="0" xfId="0" applyNumberFormat="1"/>
    <xf numFmtId="168" fontId="0" fillId="0" borderId="0" xfId="0" applyNumberFormat="1"/>
    <xf numFmtId="0" fontId="17" fillId="0" borderId="60" xfId="0" applyFont="1" applyBorder="1" applyAlignment="1">
      <alignment vertical="center" wrapText="1"/>
    </xf>
    <xf numFmtId="0" fontId="17" fillId="0" borderId="61" xfId="0" applyFont="1" applyBorder="1" applyAlignment="1">
      <alignment vertical="center" wrapText="1"/>
    </xf>
    <xf numFmtId="0" fontId="17" fillId="0" borderId="62" xfId="0" applyFont="1" applyBorder="1" applyAlignment="1">
      <alignment vertical="center" wrapText="1"/>
    </xf>
    <xf numFmtId="0" fontId="15" fillId="0" borderId="60" xfId="0" applyFont="1" applyBorder="1" applyAlignment="1">
      <alignment horizontal="left" vertical="center" wrapText="1"/>
    </xf>
    <xf numFmtId="0" fontId="15" fillId="0" borderId="61" xfId="0" applyFont="1" applyBorder="1" applyAlignment="1">
      <alignment horizontal="left" vertical="center" wrapText="1"/>
    </xf>
    <xf numFmtId="0" fontId="15" fillId="0" borderId="62" xfId="0" applyFont="1" applyBorder="1" applyAlignment="1">
      <alignment horizontal="left" vertical="center" wrapText="1"/>
    </xf>
    <xf numFmtId="0" fontId="17" fillId="0" borderId="60" xfId="0" applyFont="1" applyBorder="1" applyAlignment="1">
      <alignment horizontal="center" vertical="center" wrapText="1"/>
    </xf>
    <xf numFmtId="0" fontId="17" fillId="0" borderId="62" xfId="0" applyFont="1" applyBorder="1" applyAlignment="1">
      <alignment horizontal="center" vertical="center" wrapText="1"/>
    </xf>
    <xf numFmtId="0" fontId="15" fillId="0" borderId="60" xfId="0" applyFont="1" applyFill="1" applyBorder="1" applyAlignment="1">
      <alignment horizontal="left" vertical="center" wrapText="1"/>
    </xf>
    <xf numFmtId="0" fontId="15" fillId="0" borderId="61" xfId="0" applyFont="1" applyFill="1" applyBorder="1" applyAlignment="1">
      <alignment horizontal="left" vertical="center" wrapText="1"/>
    </xf>
    <xf numFmtId="0" fontId="15" fillId="0" borderId="62" xfId="0" applyFont="1" applyFill="1" applyBorder="1" applyAlignment="1">
      <alignment horizontal="left" vertical="center" wrapText="1"/>
    </xf>
    <xf numFmtId="0" fontId="11" fillId="0" borderId="29" xfId="0" applyFont="1" applyBorder="1" applyAlignment="1">
      <alignment vertical="center" wrapText="1"/>
    </xf>
    <xf numFmtId="0" fontId="11" fillId="0" borderId="0" xfId="0" applyFont="1" applyAlignment="1">
      <alignment vertical="center" wrapText="1"/>
    </xf>
    <xf numFmtId="0" fontId="4" fillId="7" borderId="22" xfId="0" applyFont="1" applyFill="1" applyBorder="1" applyAlignment="1">
      <alignment horizontal="center" vertical="center" textRotation="90" wrapText="1"/>
    </xf>
    <xf numFmtId="0" fontId="4" fillId="7" borderId="5" xfId="0" applyFont="1" applyFill="1" applyBorder="1" applyAlignment="1">
      <alignment horizontal="center" vertical="center" textRotation="90" wrapText="1"/>
    </xf>
    <xf numFmtId="169" fontId="4" fillId="13" borderId="18" xfId="0" applyNumberFormat="1" applyFont="1" applyFill="1" applyBorder="1" applyAlignment="1">
      <alignment horizontal="center" vertical="center" textRotation="90" wrapText="1"/>
    </xf>
    <xf numFmtId="169" fontId="4" fillId="13" borderId="14" xfId="0" applyNumberFormat="1" applyFont="1" applyFill="1" applyBorder="1" applyAlignment="1">
      <alignment horizontal="center" vertical="center" textRotation="90" wrapText="1"/>
    </xf>
    <xf numFmtId="0" fontId="4" fillId="7" borderId="21" xfId="0" applyFont="1" applyFill="1" applyBorder="1" applyAlignment="1">
      <alignment horizontal="center" vertical="center" textRotation="90" wrapText="1"/>
    </xf>
    <xf numFmtId="169" fontId="4" fillId="13" borderId="40" xfId="0" applyNumberFormat="1" applyFont="1" applyFill="1" applyBorder="1" applyAlignment="1">
      <alignment horizontal="center" vertical="center" textRotation="90" wrapText="1"/>
    </xf>
    <xf numFmtId="0" fontId="4" fillId="7" borderId="40" xfId="0" applyFont="1" applyFill="1" applyBorder="1" applyAlignment="1">
      <alignment horizontal="center" vertical="center" textRotation="90" wrapText="1"/>
    </xf>
    <xf numFmtId="0" fontId="14" fillId="0" borderId="1" xfId="0" applyFont="1" applyFill="1" applyBorder="1" applyAlignment="1">
      <alignment vertical="top" wrapText="1"/>
    </xf>
    <xf numFmtId="0" fontId="14" fillId="0" borderId="1" xfId="0" applyFont="1" applyFill="1" applyBorder="1" applyAlignment="1">
      <alignment horizontal="center" vertical="top" wrapText="1"/>
    </xf>
    <xf numFmtId="171" fontId="14" fillId="0" borderId="1" xfId="0" applyNumberFormat="1" applyFont="1" applyFill="1" applyBorder="1" applyAlignment="1">
      <alignment horizontal="center" vertical="top" wrapText="1"/>
    </xf>
    <xf numFmtId="171" fontId="14" fillId="15" borderId="1" xfId="0" applyNumberFormat="1" applyFont="1" applyFill="1" applyBorder="1" applyAlignment="1">
      <alignment horizontal="center" vertical="top" wrapText="1"/>
    </xf>
    <xf numFmtId="0" fontId="22" fillId="2" borderId="1" xfId="0" applyFont="1" applyFill="1" applyBorder="1" applyAlignment="1">
      <alignment horizontal="center" vertical="top" wrapText="1"/>
    </xf>
    <xf numFmtId="0" fontId="20" fillId="25" borderId="1" xfId="0" applyFont="1" applyFill="1" applyBorder="1" applyAlignment="1">
      <alignment vertical="top" wrapText="1"/>
    </xf>
    <xf numFmtId="0" fontId="9" fillId="25" borderId="1" xfId="0" applyFont="1" applyFill="1" applyBorder="1" applyAlignment="1">
      <alignment vertical="top" wrapText="1"/>
    </xf>
    <xf numFmtId="0" fontId="9" fillId="25" borderId="1" xfId="0" applyFont="1" applyFill="1" applyBorder="1" applyAlignment="1">
      <alignment horizontal="center" vertical="top" wrapText="1"/>
    </xf>
    <xf numFmtId="171" fontId="9" fillId="25" borderId="1" xfId="0" applyNumberFormat="1" applyFont="1" applyFill="1" applyBorder="1" applyAlignment="1">
      <alignment horizontal="center" vertical="top" wrapText="1"/>
    </xf>
    <xf numFmtId="0" fontId="23" fillId="25" borderId="1" xfId="0" applyFont="1" applyFill="1" applyBorder="1" applyAlignment="1">
      <alignment horizontal="center" vertical="top" wrapText="1"/>
    </xf>
    <xf numFmtId="3" fontId="0" fillId="0" borderId="1" xfId="0" applyNumberFormat="1" applyFill="1" applyBorder="1" applyAlignment="1">
      <alignment vertical="top" wrapText="1"/>
    </xf>
    <xf numFmtId="3" fontId="0" fillId="0" borderId="1" xfId="0" applyNumberFormat="1" applyFill="1" applyBorder="1" applyAlignment="1">
      <alignment horizontal="center" vertical="top" wrapText="1"/>
    </xf>
    <xf numFmtId="3" fontId="0" fillId="23" borderId="1" xfId="0" applyNumberFormat="1" applyFill="1" applyBorder="1" applyAlignment="1">
      <alignment horizontal="center" vertical="top" wrapText="1"/>
    </xf>
    <xf numFmtId="3" fontId="0" fillId="15" borderId="1" xfId="0" applyNumberFormat="1" applyFill="1" applyBorder="1" applyAlignment="1">
      <alignment horizontal="center" vertical="top" wrapText="1"/>
    </xf>
    <xf numFmtId="3" fontId="24" fillId="2" borderId="1" xfId="0" applyNumberFormat="1" applyFont="1" applyFill="1" applyBorder="1" applyAlignment="1">
      <alignment horizontal="center" vertical="top" wrapText="1"/>
    </xf>
    <xf numFmtId="3" fontId="25" fillId="0" borderId="1" xfId="0" applyNumberFormat="1" applyFont="1" applyBorder="1" applyAlignment="1">
      <alignment horizontal="center" vertical="top" wrapText="1"/>
    </xf>
    <xf numFmtId="3" fontId="0" fillId="23" borderId="1" xfId="0" applyNumberFormat="1" applyFont="1" applyFill="1" applyBorder="1" applyAlignment="1">
      <alignment vertical="top" wrapText="1"/>
    </xf>
    <xf numFmtId="2" fontId="0" fillId="0" borderId="1" xfId="0" applyNumberFormat="1" applyFill="1" applyBorder="1" applyAlignment="1">
      <alignment horizontal="center" vertical="top" wrapText="1"/>
    </xf>
    <xf numFmtId="3" fontId="0" fillId="23" borderId="1" xfId="0" applyNumberFormat="1" applyFill="1" applyBorder="1" applyAlignment="1">
      <alignment vertical="top" wrapText="1"/>
    </xf>
    <xf numFmtId="0" fontId="20" fillId="25" borderId="1" xfId="0" applyFont="1" applyFill="1" applyBorder="1" applyAlignment="1">
      <alignment horizontal="left" vertical="top" wrapText="1"/>
    </xf>
    <xf numFmtId="3" fontId="21" fillId="0" borderId="1" xfId="0" applyNumberFormat="1" applyFont="1" applyFill="1" applyBorder="1" applyAlignment="1">
      <alignment vertical="top" wrapText="1"/>
    </xf>
    <xf numFmtId="3" fontId="0" fillId="0" borderId="44" xfId="0" applyNumberFormat="1" applyFill="1" applyBorder="1" applyAlignment="1">
      <alignment horizontal="center" vertical="top" wrapText="1"/>
    </xf>
    <xf numFmtId="3" fontId="14" fillId="0" borderId="1" xfId="0" applyNumberFormat="1" applyFont="1" applyFill="1" applyBorder="1" applyAlignment="1">
      <alignment horizontal="center" vertical="top" wrapText="1"/>
    </xf>
    <xf numFmtId="3" fontId="14" fillId="15" borderId="1" xfId="0" applyNumberFormat="1" applyFont="1" applyFill="1" applyBorder="1" applyAlignment="1">
      <alignment horizontal="center" vertical="top" wrapText="1"/>
    </xf>
    <xf numFmtId="3" fontId="14" fillId="0" borderId="1" xfId="0" applyNumberFormat="1" applyFont="1" applyFill="1" applyBorder="1" applyAlignment="1">
      <alignment horizontal="center" vertical="top" wrapText="1"/>
    </xf>
  </cellXfs>
  <cellStyles count="8">
    <cellStyle name="Comma" xfId="6" builtinId="3"/>
    <cellStyle name="Comma 2 2" xfId="2" xr:uid="{00000000-0005-0000-0000-000000000000}"/>
    <cellStyle name="Currency" xfId="7" builtinId="4"/>
    <cellStyle name="Milliers 2" xfId="3" xr:uid="{00000000-0005-0000-0000-000002000000}"/>
    <cellStyle name="Normal" xfId="0" builtinId="0"/>
    <cellStyle name="Normal 3" xfId="1" xr:uid="{00000000-0005-0000-0000-000004000000}"/>
    <cellStyle name="Percent" xfId="5" builtinId="5"/>
    <cellStyle name="Pourcentage 2"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Couleurs IREEDD">
      <a:dk1>
        <a:sysClr val="windowText" lastClr="000000"/>
      </a:dk1>
      <a:lt1>
        <a:sysClr val="window" lastClr="FFFFFF"/>
      </a:lt1>
      <a:dk2>
        <a:srgbClr val="51636C"/>
      </a:dk2>
      <a:lt2>
        <a:srgbClr val="E7E6E6"/>
      </a:lt2>
      <a:accent1>
        <a:srgbClr val="8EB116"/>
      </a:accent1>
      <a:accent2>
        <a:srgbClr val="00A4C0"/>
      </a:accent2>
      <a:accent3>
        <a:srgbClr val="A5A5A5"/>
      </a:accent3>
      <a:accent4>
        <a:srgbClr val="FFC000"/>
      </a:accent4>
      <a:accent5>
        <a:srgbClr val="00A4C0"/>
      </a:accent5>
      <a:accent6>
        <a:srgbClr val="8EB116"/>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BD91F-C3A8-49B9-B17A-57324BE672DC}">
  <dimension ref="A1:AK43"/>
  <sheetViews>
    <sheetView zoomScaleNormal="100" workbookViewId="0">
      <selection activeCell="C21" sqref="C21"/>
    </sheetView>
  </sheetViews>
  <sheetFormatPr baseColWidth="10" defaultColWidth="11.5" defaultRowHeight="15"/>
  <cols>
    <col min="2" max="2" width="52.1640625" customWidth="1"/>
    <col min="3" max="4" width="10.83203125" bestFit="1" customWidth="1"/>
    <col min="5" max="5" width="13.5" bestFit="1" customWidth="1"/>
    <col min="6" max="6" width="11.33203125" bestFit="1" customWidth="1"/>
    <col min="7" max="8" width="10.83203125" bestFit="1" customWidth="1"/>
    <col min="9" max="9" width="14.33203125" bestFit="1" customWidth="1"/>
    <col min="10" max="10" width="15" bestFit="1" customWidth="1"/>
    <col min="11" max="11" width="13" bestFit="1" customWidth="1"/>
    <col min="12" max="12" width="14.5" bestFit="1" customWidth="1"/>
    <col min="13" max="37" width="9.5" customWidth="1"/>
  </cols>
  <sheetData>
    <row r="1" spans="1:37">
      <c r="B1" s="133" t="s">
        <v>120</v>
      </c>
      <c r="C1" s="133"/>
      <c r="D1" s="133"/>
      <c r="E1" s="133"/>
      <c r="F1" s="133"/>
      <c r="G1" s="133"/>
      <c r="H1" s="134">
        <v>0.02</v>
      </c>
    </row>
    <row r="2" spans="1:37">
      <c r="B2" s="135" t="s">
        <v>121</v>
      </c>
      <c r="C2" s="135"/>
      <c r="D2" s="135"/>
      <c r="E2" s="135"/>
      <c r="F2" s="135"/>
      <c r="G2" s="135"/>
      <c r="H2" s="136">
        <v>0.08</v>
      </c>
    </row>
    <row r="4" spans="1:37" ht="16" thickBot="1">
      <c r="A4" s="219"/>
      <c r="B4" s="219"/>
      <c r="C4" s="219"/>
      <c r="D4" s="219"/>
      <c r="E4" s="219"/>
      <c r="F4" s="219"/>
      <c r="G4" s="219"/>
      <c r="H4" s="219"/>
      <c r="I4" s="219"/>
      <c r="J4" s="219"/>
      <c r="K4" s="219"/>
      <c r="L4" s="219"/>
    </row>
    <row r="5" spans="1:37" ht="16">
      <c r="A5" s="219"/>
      <c r="B5" s="199" t="s">
        <v>139</v>
      </c>
      <c r="C5" s="200" t="s">
        <v>0</v>
      </c>
      <c r="D5" s="200" t="s">
        <v>94</v>
      </c>
      <c r="E5" s="200" t="s">
        <v>122</v>
      </c>
      <c r="F5" s="200" t="s">
        <v>123</v>
      </c>
      <c r="G5" s="200" t="s">
        <v>126</v>
      </c>
      <c r="H5" s="200">
        <v>2021</v>
      </c>
      <c r="I5" s="200">
        <v>2022</v>
      </c>
      <c r="J5" s="200">
        <v>2023</v>
      </c>
      <c r="K5" s="200">
        <v>2024</v>
      </c>
      <c r="L5" s="201">
        <v>2025</v>
      </c>
      <c r="M5" s="191">
        <v>2026</v>
      </c>
      <c r="N5" s="114">
        <v>2027</v>
      </c>
      <c r="O5" s="114">
        <v>2028</v>
      </c>
      <c r="P5" s="114">
        <v>2029</v>
      </c>
      <c r="Q5" s="114">
        <v>2030</v>
      </c>
      <c r="R5" s="114">
        <v>2031</v>
      </c>
      <c r="S5" s="114">
        <v>2032</v>
      </c>
      <c r="T5" s="114">
        <v>2033</v>
      </c>
      <c r="U5" s="114">
        <v>2034</v>
      </c>
      <c r="V5" s="114">
        <v>2035</v>
      </c>
      <c r="W5" s="114">
        <v>2036</v>
      </c>
      <c r="X5" s="114">
        <v>2037</v>
      </c>
      <c r="Y5" s="114">
        <v>2038</v>
      </c>
      <c r="Z5" s="114">
        <v>2039</v>
      </c>
      <c r="AA5" s="114">
        <v>2040</v>
      </c>
      <c r="AB5" s="114">
        <v>2041</v>
      </c>
      <c r="AC5" s="114">
        <v>2042</v>
      </c>
      <c r="AD5" s="114">
        <v>2043</v>
      </c>
      <c r="AE5" s="114">
        <v>2044</v>
      </c>
      <c r="AF5" s="114">
        <v>2045</v>
      </c>
      <c r="AG5" s="114">
        <v>2046</v>
      </c>
      <c r="AH5" s="114">
        <v>2047</v>
      </c>
      <c r="AI5" s="114">
        <v>2048</v>
      </c>
      <c r="AJ5" s="114">
        <v>2049</v>
      </c>
      <c r="AK5" s="114">
        <v>2050</v>
      </c>
    </row>
    <row r="6" spans="1:37">
      <c r="A6" s="219"/>
      <c r="B6" s="202" t="s">
        <v>115</v>
      </c>
      <c r="C6" s="192"/>
      <c r="D6" s="192"/>
      <c r="E6" s="192"/>
      <c r="F6" s="192"/>
      <c r="G6" s="192"/>
      <c r="H6" s="193"/>
      <c r="I6" s="193"/>
      <c r="J6" s="193"/>
      <c r="K6" s="193"/>
      <c r="L6" s="203"/>
    </row>
    <row r="7" spans="1:37" ht="16">
      <c r="A7" s="219"/>
      <c r="B7" s="204" t="s">
        <v>140</v>
      </c>
      <c r="C7" s="164">
        <f>SUM(H7:L7)</f>
        <v>22153500</v>
      </c>
      <c r="D7" s="194">
        <f>'COM Act'!U36+'MAD Act'!U37+'SEY Act'!U36+'MAU Act'!U36+REGIONAL!U40</f>
        <v>800000</v>
      </c>
      <c r="E7" s="194">
        <f>'COM Act'!V36+'MAD Act'!V37+'SEY Act'!V36+'MAU Act'!V36+REGIONAL!V40</f>
        <v>0</v>
      </c>
      <c r="F7" s="194">
        <f>'COM Act'!W36+'MAD Act'!W37+'SEY Act'!W36+'MAU Act'!W36+REGIONAL!W40</f>
        <v>20353500</v>
      </c>
      <c r="G7" s="194">
        <f>'COM Act'!X36+'MAD Act'!X37+'SEY Act'!X36+'MAU Act'!X36+REGIONAL!X40</f>
        <v>1000000</v>
      </c>
      <c r="H7" s="194">
        <f>'COM Act'!O36+'MAD Act'!O37+'SEY Act'!O36+'MAU Act'!O36+REGIONAL!O35</f>
        <v>2577500</v>
      </c>
      <c r="I7" s="194">
        <f>'COM Act'!P36+'MAD Act'!P37+'SEY Act'!P36+'MAU Act'!P36+REGIONAL!P35</f>
        <v>16805500</v>
      </c>
      <c r="J7" s="194">
        <f>'COM Act'!Q36+'MAD Act'!Q37+'SEY Act'!Q36+'MAU Act'!Q36+REGIONAL!Q35</f>
        <v>2170500</v>
      </c>
      <c r="K7" s="194">
        <f>'COM Act'!R36+'MAD Act'!R37+'SEY Act'!R36+'MAU Act'!R36+REGIONAL!R35</f>
        <v>300000</v>
      </c>
      <c r="L7" s="205">
        <f>'COM Act'!S36+'MAD Act'!S37+'SEY Act'!S36+'MAU Act'!S36+REGIONAL!S35</f>
        <v>300000</v>
      </c>
    </row>
    <row r="8" spans="1:37">
      <c r="A8" s="219"/>
      <c r="B8" s="206" t="s">
        <v>141</v>
      </c>
      <c r="C8" s="164">
        <f t="shared" ref="C8:C12" si="0">SUM(H8:L8)</f>
        <v>15420000</v>
      </c>
      <c r="D8" s="194">
        <f>'COM Act'!U53+'MAD Act'!U54+'SEY Act'!U53+'MAU Act'!U52+REGIONAL!U57</f>
        <v>0</v>
      </c>
      <c r="E8" s="194">
        <f>'COM Act'!V53+'MAD Act'!V54+'SEY Act'!V53+'MAU Act'!V52+REGIONAL!V57</f>
        <v>0</v>
      </c>
      <c r="F8" s="194">
        <f>'COM Act'!W53+'MAD Act'!W54+'SEY Act'!W53+'MAU Act'!W52+REGIONAL!W57</f>
        <v>15420000</v>
      </c>
      <c r="G8" s="194">
        <f>'COM Act'!X53+'MAD Act'!X54+'SEY Act'!X53+'MAU Act'!X52+REGIONAL!X57</f>
        <v>0</v>
      </c>
      <c r="H8" s="194">
        <f>'COM Act'!O53+'MAD Act'!O54+'SEY Act'!O53+'MAU Act'!O52+REGIONAL!O57</f>
        <v>4140000</v>
      </c>
      <c r="I8" s="194">
        <f>'COM Act'!P53+'MAD Act'!P54+'SEY Act'!P53+'MAU Act'!P52+REGIONAL!P57</f>
        <v>9825000</v>
      </c>
      <c r="J8" s="194">
        <f>'COM Act'!Q53+'MAD Act'!Q54+'SEY Act'!Q53+'MAU Act'!Q52+REGIONAL!Q57</f>
        <v>1355000</v>
      </c>
      <c r="K8" s="194">
        <f>'COM Act'!R53+'MAD Act'!R54+'SEY Act'!R53+'MAU Act'!R52+REGIONAL!R57</f>
        <v>100000</v>
      </c>
      <c r="L8" s="205">
        <f>'COM Act'!S53+'MAD Act'!S54+'SEY Act'!S53+'MAU Act'!S52+REGIONAL!S57</f>
        <v>0</v>
      </c>
    </row>
    <row r="9" spans="1:37">
      <c r="A9" s="219"/>
      <c r="B9" s="206" t="s">
        <v>142</v>
      </c>
      <c r="C9" s="164">
        <f>SUM(H9:L9)</f>
        <v>14573000</v>
      </c>
      <c r="D9" s="194">
        <f>'COM Act'!U15+'MAD Act'!U16+'SEY Act'!U14+'MAU Act'!U14+REGIONAL!U32</f>
        <v>0</v>
      </c>
      <c r="E9" s="194">
        <f>'COM Act'!V15+'MAD Act'!V16+'SEY Act'!V14+'MAU Act'!V14+REGIONAL!V32</f>
        <v>1200000</v>
      </c>
      <c r="F9" s="194">
        <f>'COM Act'!W15+'MAD Act'!W16+'SEY Act'!W14+'MAU Act'!W14+REGIONAL!W32</f>
        <v>13373000</v>
      </c>
      <c r="G9" s="194">
        <f>'COM Act'!X15+'MAD Act'!X16+'SEY Act'!X14+'MAU Act'!X14+REGIONAL!X32</f>
        <v>0</v>
      </c>
      <c r="H9" s="194">
        <f>'COM Act'!O15+'MAD Act'!O16+'SEY Act'!O14+'MAU Act'!O14+REGIONAL!O32</f>
        <v>3369000</v>
      </c>
      <c r="I9" s="194">
        <f>'COM Act'!P15+'MAD Act'!P16+'SEY Act'!P14+'MAU Act'!P14+REGIONAL!P32</f>
        <v>4195000</v>
      </c>
      <c r="J9" s="194">
        <f>'COM Act'!Q15+'MAD Act'!Q16+'SEY Act'!Q14+'MAU Act'!Q14+REGIONAL!Q32</f>
        <v>3559000</v>
      </c>
      <c r="K9" s="194">
        <f>'COM Act'!R15+'MAD Act'!R16+'SEY Act'!R14+'MAU Act'!R14+REGIONAL!R32</f>
        <v>1725000</v>
      </c>
      <c r="L9" s="205">
        <f>'COM Act'!S15+'MAD Act'!S16+'SEY Act'!S14+'MAU Act'!S14+REGIONAL!S32</f>
        <v>1725000</v>
      </c>
    </row>
    <row r="10" spans="1:37">
      <c r="A10" s="219"/>
      <c r="B10" s="206" t="s">
        <v>160</v>
      </c>
      <c r="C10" s="164">
        <f t="shared" ref="C10" si="1">SUM(H10:L10)</f>
        <v>0</v>
      </c>
      <c r="D10" s="194">
        <f>REGIONAL!U4</f>
        <v>0</v>
      </c>
      <c r="E10" s="194">
        <f>REGIONAL!V4</f>
        <v>0</v>
      </c>
      <c r="F10" s="194">
        <f>REGIONAL!W4</f>
        <v>0</v>
      </c>
      <c r="G10" s="194">
        <f>REGIONAL!X4</f>
        <v>0</v>
      </c>
      <c r="H10" s="194">
        <f>REGIONAL!O4</f>
        <v>0</v>
      </c>
      <c r="I10" s="194">
        <f>REGIONAL!P4</f>
        <v>0</v>
      </c>
      <c r="J10" s="194">
        <f>REGIONAL!Q4</f>
        <v>0</v>
      </c>
      <c r="K10" s="194">
        <f>REGIONAL!R4</f>
        <v>0</v>
      </c>
      <c r="L10" s="205">
        <f>REGIONAL!S4</f>
        <v>0</v>
      </c>
    </row>
    <row r="11" spans="1:37" ht="16">
      <c r="A11" s="219"/>
      <c r="B11" s="204" t="s">
        <v>143</v>
      </c>
      <c r="C11" s="164">
        <f t="shared" si="0"/>
        <v>7930000</v>
      </c>
      <c r="D11" s="194">
        <f>'COM Act'!U66+'MAD Act'!U66+'SEY Act'!U65+'MAU Act'!U64+REGIONAL!U70</f>
        <v>0</v>
      </c>
      <c r="E11" s="194">
        <f>'COM Act'!V66+'MAD Act'!V66+'SEY Act'!V65+'MAU Act'!V64+REGIONAL!V70</f>
        <v>7930000</v>
      </c>
      <c r="F11" s="194">
        <f>'COM Act'!W66+'MAD Act'!W66+'SEY Act'!W65+'MAU Act'!W64+REGIONAL!W70</f>
        <v>0</v>
      </c>
      <c r="G11" s="194">
        <f>'COM Act'!X66+'MAD Act'!X66+'SEY Act'!X65+'MAU Act'!X64+REGIONAL!X70</f>
        <v>0</v>
      </c>
      <c r="H11" s="194">
        <f>'COM Act'!O66+'MAD Act'!O66+'SEY Act'!O65+'MAU Act'!O64+REGIONAL!O70</f>
        <v>1690000</v>
      </c>
      <c r="I11" s="194">
        <f>'COM Act'!P66+'MAD Act'!P66+'SEY Act'!P65+'MAU Act'!P64+REGIONAL!P70</f>
        <v>3165000</v>
      </c>
      <c r="J11" s="194">
        <f>'COM Act'!Q66+'MAD Act'!Q66+'SEY Act'!Q65+'MAU Act'!Q64+REGIONAL!Q70</f>
        <v>1575000</v>
      </c>
      <c r="K11" s="194">
        <f>'COM Act'!R66+'MAD Act'!R66+'SEY Act'!R65+'MAU Act'!R64+REGIONAL!R70</f>
        <v>1200000</v>
      </c>
      <c r="L11" s="205">
        <f>'COM Act'!S66+'MAD Act'!S66+'SEY Act'!S65+'MAU Act'!S64+REGIONAL!S70</f>
        <v>300000</v>
      </c>
    </row>
    <row r="12" spans="1:37">
      <c r="A12" s="219"/>
      <c r="B12" s="206" t="s">
        <v>144</v>
      </c>
      <c r="C12" s="164">
        <f t="shared" si="0"/>
        <v>9990000</v>
      </c>
      <c r="D12" s="194">
        <f>'COM Act'!U77+'MAD Act'!U76+'SEY Act'!U75+'MAU Act'!U74+REGIONAL!U80</f>
        <v>0</v>
      </c>
      <c r="E12" s="194">
        <f>'COM Act'!V77+'MAD Act'!V76+'SEY Act'!V75+'MAU Act'!V74+REGIONAL!V80</f>
        <v>3440000</v>
      </c>
      <c r="F12" s="194">
        <f>'COM Act'!W77+'MAD Act'!W76+'SEY Act'!W75+'MAU Act'!W74+REGIONAL!W80</f>
        <v>6550000</v>
      </c>
      <c r="G12" s="194">
        <f>'COM Act'!X77+'MAD Act'!X76+'SEY Act'!X75+'MAU Act'!X74+REGIONAL!X80</f>
        <v>0</v>
      </c>
      <c r="H12" s="194">
        <f>'COM Act'!O77+'MAD Act'!O76+'SEY Act'!O75+'MAU Act'!O74+REGIONAL!O80</f>
        <v>2000000</v>
      </c>
      <c r="I12" s="194">
        <f>'COM Act'!P77+'MAD Act'!P76+'SEY Act'!P75+'MAU Act'!P74+REGIONAL!P80</f>
        <v>3350000</v>
      </c>
      <c r="J12" s="194">
        <f>'COM Act'!Q77+'MAD Act'!Q76+'SEY Act'!Q75+'MAU Act'!Q74+REGIONAL!Q80</f>
        <v>3380000</v>
      </c>
      <c r="K12" s="194">
        <f>'COM Act'!R77+'MAD Act'!R76+'SEY Act'!R75+'MAU Act'!R74+REGIONAL!R80</f>
        <v>1180000</v>
      </c>
      <c r="L12" s="205">
        <f>'COM Act'!S77+'MAD Act'!S76+'SEY Act'!S75+'MAU Act'!S74+REGIONAL!S80</f>
        <v>80000</v>
      </c>
    </row>
    <row r="13" spans="1:37">
      <c r="A13" s="219"/>
      <c r="B13" s="207" t="s">
        <v>117</v>
      </c>
      <c r="C13" s="120">
        <f t="shared" ref="C13:L13" si="2">SUM(C7:C12)</f>
        <v>70066500</v>
      </c>
      <c r="D13" s="120">
        <f t="shared" si="2"/>
        <v>800000</v>
      </c>
      <c r="E13" s="120">
        <f t="shared" si="2"/>
        <v>12570000</v>
      </c>
      <c r="F13" s="120">
        <f t="shared" si="2"/>
        <v>55696500</v>
      </c>
      <c r="G13" s="120">
        <f t="shared" si="2"/>
        <v>1000000</v>
      </c>
      <c r="H13" s="120">
        <f t="shared" si="2"/>
        <v>13776500</v>
      </c>
      <c r="I13" s="120">
        <f t="shared" si="2"/>
        <v>37340500</v>
      </c>
      <c r="J13" s="120">
        <f t="shared" si="2"/>
        <v>12039500</v>
      </c>
      <c r="K13" s="120">
        <f t="shared" si="2"/>
        <v>4505000</v>
      </c>
      <c r="L13" s="208">
        <f t="shared" si="2"/>
        <v>2405000</v>
      </c>
    </row>
    <row r="14" spans="1:37">
      <c r="A14" s="219"/>
      <c r="B14" s="209" t="s">
        <v>118</v>
      </c>
      <c r="C14" s="163" t="b">
        <f>C13=SUM(D13:G13)</f>
        <v>1</v>
      </c>
      <c r="D14" s="163"/>
      <c r="E14" s="163"/>
      <c r="F14" s="163"/>
      <c r="G14" s="163"/>
      <c r="H14" s="195" t="b">
        <f>H13='COM Act'!O82+'MAD Act'!O81+'SEY Act'!O80+'MAU Act'!O79</f>
        <v>0</v>
      </c>
      <c r="I14" s="195" t="b">
        <f>I13='COM Act'!P82+'MAD Act'!P81+'SEY Act'!P80+'MAU Act'!P79</f>
        <v>0</v>
      </c>
      <c r="J14" s="195" t="b">
        <f>J13='COM Act'!Q82+'MAD Act'!Q81+'SEY Act'!Q80+'MAU Act'!Q79</f>
        <v>0</v>
      </c>
      <c r="K14" s="195" t="b">
        <f>K13='COM Act'!R82+'MAD Act'!R81+'SEY Act'!R80+'MAU Act'!R79</f>
        <v>0</v>
      </c>
      <c r="L14" s="210" t="b">
        <f>L13='COM Act'!S82+'MAD Act'!S81+'SEY Act'!S80+'MAU Act'!S79</f>
        <v>0</v>
      </c>
    </row>
    <row r="15" spans="1:37">
      <c r="A15" s="219"/>
      <c r="B15" s="211" t="s">
        <v>116</v>
      </c>
      <c r="C15" s="196"/>
      <c r="D15" s="196"/>
      <c r="E15" s="196"/>
      <c r="F15" s="196"/>
      <c r="G15" s="196"/>
      <c r="H15" s="193"/>
      <c r="I15" s="193"/>
      <c r="J15" s="193"/>
      <c r="K15" s="193"/>
      <c r="L15" s="203"/>
    </row>
    <row r="16" spans="1:37" ht="16">
      <c r="A16" s="219"/>
      <c r="B16" s="212" t="s">
        <v>145</v>
      </c>
      <c r="C16" s="164">
        <f>SUM(H16:L16)</f>
        <v>7994000</v>
      </c>
      <c r="D16" s="194">
        <f>'COM Act'!U89+'MAD Act'!U88+'SEY Act'!U87+'MAU Act'!U86+REGIONAL!U92</f>
        <v>0</v>
      </c>
      <c r="E16" s="194">
        <f>'COM Act'!V89+'MAD Act'!V88+'SEY Act'!V87+'MAU Act'!V86+REGIONAL!V92</f>
        <v>0</v>
      </c>
      <c r="F16" s="197">
        <f>'COM Act'!W89+'MAD Act'!W88+'SEY Act'!W87+'MAU Act'!W86+REGIONAL!W92</f>
        <v>2105000</v>
      </c>
      <c r="G16" s="194">
        <f>'COM Act'!X89+'MAD Act'!X88+'SEY Act'!X87+'MAU Act'!X86+REGIONAL!X92</f>
        <v>5889000</v>
      </c>
      <c r="H16" s="194">
        <f>'COM Act'!O89+'MAD Act'!O88+'SEY Act'!O87+'MAU Act'!O86+REGIONAL!O92</f>
        <v>0</v>
      </c>
      <c r="I16" s="198">
        <f>'COM Act'!P89+'MAD Act'!P88+'SEY Act'!P87+'MAU Act'!P86+REGIONAL!P92</f>
        <v>470000</v>
      </c>
      <c r="J16" s="194">
        <f>'COM Act'!Q89+'MAD Act'!Q88+'SEY Act'!Q87+'MAU Act'!Q86+REGIONAL!Q92</f>
        <v>2334000</v>
      </c>
      <c r="K16" s="194">
        <f>'COM Act'!R89+'MAD Act'!R88+'SEY Act'!R87+'MAU Act'!R86+REGIONAL!R92</f>
        <v>2581000</v>
      </c>
      <c r="L16" s="205">
        <f>'COM Act'!S89+'MAD Act'!S88+'SEY Act'!S87+'MAU Act'!S86+REGIONAL!S92</f>
        <v>2609000</v>
      </c>
    </row>
    <row r="17" spans="1:37" ht="16">
      <c r="A17" s="219"/>
      <c r="B17" s="212" t="s">
        <v>146</v>
      </c>
      <c r="C17" s="164">
        <f t="shared" ref="C17" si="3">SUM(H17:L17)</f>
        <v>0</v>
      </c>
      <c r="D17" s="194">
        <f>'COM Act'!U101+'MAD Act'!U100+'SEY Act'!U99+'MAU Act'!U98</f>
        <v>0</v>
      </c>
      <c r="E17" s="194">
        <f>'COM Act'!V101+'MAD Act'!V100+'SEY Act'!V99+'MAU Act'!V98</f>
        <v>0</v>
      </c>
      <c r="F17" s="194">
        <f>'COM Act'!W101+'MAD Act'!W100+'SEY Act'!W99+'MAU Act'!W98</f>
        <v>0</v>
      </c>
      <c r="G17" s="194">
        <f>'COM Act'!X101+'MAD Act'!X100+'SEY Act'!X99+'MAU Act'!X98</f>
        <v>0</v>
      </c>
      <c r="H17" s="194">
        <f>'COM Act'!O101+'MAD Act'!O100+'SEY Act'!O99+'MAU Act'!O98</f>
        <v>0</v>
      </c>
      <c r="I17" s="194">
        <f>'COM Act'!P101+'MAD Act'!P100+'SEY Act'!P99+'MAU Act'!P98</f>
        <v>0</v>
      </c>
      <c r="J17" s="194">
        <f>'COM Act'!Q101+'MAD Act'!Q100+'SEY Act'!Q99+'MAU Act'!Q98</f>
        <v>0</v>
      </c>
      <c r="K17" s="194">
        <f>'COM Act'!R101+'MAD Act'!R100+'SEY Act'!R99+'MAU Act'!R98</f>
        <v>0</v>
      </c>
      <c r="L17" s="205">
        <f>'COM Act'!S101+'MAD Act'!S100+'SEY Act'!S99+'MAU Act'!S98</f>
        <v>0</v>
      </c>
      <c r="M17" s="115">
        <f>'COM Act'!T101</f>
        <v>0</v>
      </c>
      <c r="N17" s="115" t="e">
        <f>'COM Act'!#REF!</f>
        <v>#REF!</v>
      </c>
      <c r="O17" s="115" t="e">
        <f>'COM Act'!#REF!</f>
        <v>#REF!</v>
      </c>
      <c r="P17" s="115" t="e">
        <f>'COM Act'!#REF!</f>
        <v>#REF!</v>
      </c>
      <c r="Q17" s="115" t="e">
        <f>'COM Act'!#REF!</f>
        <v>#REF!</v>
      </c>
      <c r="R17" s="115" t="e">
        <f>'COM Act'!#REF!</f>
        <v>#REF!</v>
      </c>
      <c r="S17" s="115" t="e">
        <f>'COM Act'!#REF!</f>
        <v>#REF!</v>
      </c>
      <c r="T17" s="115">
        <f>'COM Act'!Y101</f>
        <v>0</v>
      </c>
      <c r="U17" s="115">
        <f>'COM Act'!Z101</f>
        <v>0</v>
      </c>
      <c r="V17" s="115">
        <f>'COM Act'!AA101</f>
        <v>0</v>
      </c>
      <c r="W17" s="115">
        <f>'COM Act'!AB101</f>
        <v>0</v>
      </c>
      <c r="X17" s="115">
        <f>'COM Act'!AC101</f>
        <v>0</v>
      </c>
      <c r="Y17" s="115">
        <f>'COM Act'!AD101</f>
        <v>0</v>
      </c>
      <c r="Z17" s="115">
        <f>'COM Act'!AE101</f>
        <v>0</v>
      </c>
      <c r="AA17" s="115">
        <f>'COM Act'!AF101</f>
        <v>0</v>
      </c>
      <c r="AB17" s="115">
        <f>'COM Act'!AG101</f>
        <v>0</v>
      </c>
      <c r="AC17" s="115">
        <f>'COM Act'!AH101</f>
        <v>0</v>
      </c>
      <c r="AD17" s="115">
        <f>'COM Act'!AI101</f>
        <v>0</v>
      </c>
      <c r="AE17" s="115">
        <f>'COM Act'!AJ101</f>
        <v>0</v>
      </c>
      <c r="AF17" s="115">
        <f>'COM Act'!AK101</f>
        <v>0</v>
      </c>
      <c r="AG17" s="115">
        <f>'COM Act'!AL101</f>
        <v>0</v>
      </c>
      <c r="AH17" s="115">
        <f>'COM Act'!AM101</f>
        <v>0</v>
      </c>
      <c r="AI17" s="115">
        <f>'COM Act'!AN101</f>
        <v>0</v>
      </c>
      <c r="AJ17" s="115">
        <f>'COM Act'!AO101</f>
        <v>0</v>
      </c>
      <c r="AK17" s="115">
        <f>'COM Act'!AP101</f>
        <v>0</v>
      </c>
    </row>
    <row r="18" spans="1:37" ht="16" thickBot="1">
      <c r="A18" s="219"/>
      <c r="B18" s="213" t="s">
        <v>117</v>
      </c>
      <c r="C18" s="214">
        <f>SUM(C16:C17)</f>
        <v>7994000</v>
      </c>
      <c r="D18" s="214">
        <f t="shared" ref="D18:G18" si="4">SUM(D16:D17)</f>
        <v>0</v>
      </c>
      <c r="E18" s="214">
        <f t="shared" si="4"/>
        <v>0</v>
      </c>
      <c r="F18" s="214">
        <f t="shared" si="4"/>
        <v>2105000</v>
      </c>
      <c r="G18" s="214">
        <f t="shared" si="4"/>
        <v>5889000</v>
      </c>
      <c r="H18" s="214">
        <f>SUM(H16:H17)</f>
        <v>0</v>
      </c>
      <c r="I18" s="214">
        <f t="shared" ref="I18:L18" si="5">SUM(I16:I17)</f>
        <v>470000</v>
      </c>
      <c r="J18" s="214">
        <f t="shared" si="5"/>
        <v>2334000</v>
      </c>
      <c r="K18" s="214">
        <f t="shared" si="5"/>
        <v>2581000</v>
      </c>
      <c r="L18" s="215">
        <f t="shared" si="5"/>
        <v>2609000</v>
      </c>
    </row>
    <row r="19" spans="1:37">
      <c r="A19" s="219"/>
      <c r="B19" s="209" t="s">
        <v>118</v>
      </c>
      <c r="C19" s="163" t="b">
        <f>C18=SUM(D18:G18)</f>
        <v>1</v>
      </c>
      <c r="D19" s="163"/>
      <c r="E19" s="163"/>
      <c r="F19" s="163"/>
      <c r="G19" s="163"/>
      <c r="H19" s="195" t="b">
        <f>H18='COM Act'!O104+'MAD Act'!O103+'SEY Act'!O102+'MAU Act'!O101</f>
        <v>1</v>
      </c>
      <c r="I19" s="195" t="b">
        <f>I18='COM Act'!P104+'MAD Act'!P103+'SEY Act'!P102+'MAU Act'!P101</f>
        <v>0</v>
      </c>
      <c r="J19" s="195" t="b">
        <f>J18='COM Act'!Q104+'MAD Act'!Q103+'SEY Act'!Q102+'MAU Act'!Q101</f>
        <v>0</v>
      </c>
      <c r="K19" s="195" t="b">
        <f>K18='COM Act'!R104+'MAD Act'!R103+'SEY Act'!R102+'MAU Act'!R101</f>
        <v>0</v>
      </c>
      <c r="L19" s="210" t="b">
        <f>L18='COM Act'!S104+'MAD Act'!S103+'SEY Act'!S102+'MAU Act'!S101</f>
        <v>0</v>
      </c>
    </row>
    <row r="20" spans="1:37">
      <c r="A20" s="219"/>
      <c r="B20" s="216"/>
      <c r="C20" s="193"/>
      <c r="D20" s="193"/>
      <c r="E20" s="193"/>
      <c r="F20" s="193"/>
      <c r="G20" s="193"/>
      <c r="H20" s="193"/>
      <c r="I20" s="193"/>
      <c r="J20" s="193"/>
      <c r="K20" s="193"/>
      <c r="L20" s="203"/>
    </row>
    <row r="21" spans="1:37" ht="16" thickBot="1">
      <c r="A21" s="219"/>
      <c r="B21" s="213" t="s">
        <v>0</v>
      </c>
      <c r="C21" s="214">
        <f>C13+C18</f>
        <v>78060500</v>
      </c>
      <c r="D21" s="217"/>
      <c r="E21" s="217"/>
      <c r="F21" s="217"/>
      <c r="G21" s="217"/>
      <c r="H21" s="217"/>
      <c r="I21" s="217"/>
      <c r="J21" s="217"/>
      <c r="K21" s="217"/>
      <c r="L21" s="218"/>
    </row>
    <row r="22" spans="1:37">
      <c r="A22" s="219"/>
      <c r="B22" s="219"/>
      <c r="C22" s="219"/>
      <c r="D22" s="219"/>
      <c r="E22" s="219"/>
      <c r="F22" s="219"/>
      <c r="G22" s="219"/>
      <c r="H22" s="219"/>
      <c r="I22" s="219"/>
      <c r="J22" s="219"/>
      <c r="K22" s="219"/>
      <c r="L22" s="219"/>
    </row>
    <row r="26" spans="1:37" ht="16">
      <c r="B26" s="189" t="s">
        <v>147</v>
      </c>
      <c r="C26" s="113" t="s">
        <v>0</v>
      </c>
      <c r="D26" s="113" t="s">
        <v>94</v>
      </c>
      <c r="E26" s="113" t="s">
        <v>122</v>
      </c>
      <c r="F26" s="113" t="s">
        <v>123</v>
      </c>
      <c r="G26" s="113" t="s">
        <v>126</v>
      </c>
      <c r="H26" s="113">
        <v>2021</v>
      </c>
      <c r="I26" s="113">
        <v>2022</v>
      </c>
      <c r="J26" s="113">
        <v>2023</v>
      </c>
      <c r="K26" s="113">
        <v>2024</v>
      </c>
      <c r="L26" s="113">
        <v>2025</v>
      </c>
    </row>
    <row r="27" spans="1:37">
      <c r="B27" s="119" t="s">
        <v>115</v>
      </c>
      <c r="C27" s="119"/>
      <c r="D27" s="119"/>
      <c r="E27" s="119"/>
      <c r="F27" s="119"/>
      <c r="G27" s="119"/>
    </row>
    <row r="28" spans="1:37" ht="16">
      <c r="B28" s="117" t="s">
        <v>130</v>
      </c>
      <c r="C28" s="164">
        <f t="shared" ref="C28:L28" si="6">SUM(C9,C17)</f>
        <v>14573000</v>
      </c>
      <c r="D28" s="115">
        <f>SUM(D9,D17)</f>
        <v>0</v>
      </c>
      <c r="E28" s="115">
        <f t="shared" si="6"/>
        <v>1200000</v>
      </c>
      <c r="F28" s="115">
        <f t="shared" si="6"/>
        <v>13373000</v>
      </c>
      <c r="G28" s="115">
        <f t="shared" si="6"/>
        <v>0</v>
      </c>
      <c r="H28" s="115">
        <f t="shared" si="6"/>
        <v>3369000</v>
      </c>
      <c r="I28" s="115">
        <f t="shared" si="6"/>
        <v>4195000</v>
      </c>
      <c r="J28" s="115">
        <f t="shared" si="6"/>
        <v>3559000</v>
      </c>
      <c r="K28" s="115">
        <f t="shared" si="6"/>
        <v>1725000</v>
      </c>
      <c r="L28" s="115">
        <f t="shared" si="6"/>
        <v>1725000</v>
      </c>
    </row>
    <row r="29" spans="1:37">
      <c r="B29" s="118" t="s">
        <v>131</v>
      </c>
      <c r="C29" s="164">
        <f t="shared" ref="C29:L29" si="7">SUM(C7,C8,C16)</f>
        <v>45567500</v>
      </c>
      <c r="D29" s="115">
        <f t="shared" si="7"/>
        <v>800000</v>
      </c>
      <c r="E29" s="115">
        <f t="shared" si="7"/>
        <v>0</v>
      </c>
      <c r="F29" s="115">
        <f t="shared" si="7"/>
        <v>37878500</v>
      </c>
      <c r="G29" s="115">
        <f t="shared" si="7"/>
        <v>6889000</v>
      </c>
      <c r="H29" s="115">
        <f t="shared" si="7"/>
        <v>6717500</v>
      </c>
      <c r="I29" s="115">
        <f t="shared" si="7"/>
        <v>27100500</v>
      </c>
      <c r="J29" s="115">
        <f t="shared" si="7"/>
        <v>5859500</v>
      </c>
      <c r="K29" s="115">
        <f t="shared" si="7"/>
        <v>2981000</v>
      </c>
      <c r="L29" s="115">
        <f t="shared" si="7"/>
        <v>2909000</v>
      </c>
    </row>
    <row r="30" spans="1:37" ht="16">
      <c r="B30" s="117" t="s">
        <v>132</v>
      </c>
      <c r="C30" s="164">
        <f t="shared" ref="C30:L30" si="8">SUM(C11,C12)</f>
        <v>17920000</v>
      </c>
      <c r="D30" s="115">
        <f t="shared" si="8"/>
        <v>0</v>
      </c>
      <c r="E30" s="115">
        <f t="shared" si="8"/>
        <v>11370000</v>
      </c>
      <c r="F30" s="115">
        <f t="shared" si="8"/>
        <v>6550000</v>
      </c>
      <c r="G30" s="115">
        <f t="shared" si="8"/>
        <v>0</v>
      </c>
      <c r="H30" s="115">
        <f t="shared" si="8"/>
        <v>3690000</v>
      </c>
      <c r="I30" s="115">
        <f t="shared" si="8"/>
        <v>6515000</v>
      </c>
      <c r="J30" s="115">
        <f t="shared" si="8"/>
        <v>4955000</v>
      </c>
      <c r="K30" s="115">
        <f t="shared" si="8"/>
        <v>2380000</v>
      </c>
      <c r="L30" s="115">
        <f t="shared" si="8"/>
        <v>380000</v>
      </c>
    </row>
    <row r="31" spans="1:37">
      <c r="B31" s="118" t="s">
        <v>133</v>
      </c>
      <c r="C31" s="164">
        <f>C10</f>
        <v>0</v>
      </c>
      <c r="D31" s="115">
        <f>D10</f>
        <v>0</v>
      </c>
      <c r="E31" s="115">
        <f t="shared" ref="E31:G31" si="9">E10</f>
        <v>0</v>
      </c>
      <c r="F31" s="115">
        <f t="shared" si="9"/>
        <v>0</v>
      </c>
      <c r="G31" s="115">
        <f t="shared" si="9"/>
        <v>0</v>
      </c>
      <c r="H31" s="115">
        <f>'COM Act'!O97+'MAD Act'!O96+'SEY Act'!O95+'MAU Act'!O94</f>
        <v>0</v>
      </c>
      <c r="I31" s="115">
        <f>'COM Act'!P97+'MAD Act'!P96+'SEY Act'!P95+'MAU Act'!P94</f>
        <v>0</v>
      </c>
      <c r="J31" s="115">
        <f>'COM Act'!Q97+'MAD Act'!Q96+'SEY Act'!Q95+'MAU Act'!Q94</f>
        <v>0</v>
      </c>
      <c r="K31" s="115">
        <f>'COM Act'!R97+'MAD Act'!R96+'SEY Act'!R95+'MAU Act'!R94</f>
        <v>0</v>
      </c>
      <c r="L31" s="115">
        <f>'COM Act'!S97+'MAD Act'!S96+'SEY Act'!S95+'MAU Act'!S94</f>
        <v>0</v>
      </c>
    </row>
    <row r="32" spans="1:37">
      <c r="B32" s="116" t="s">
        <v>117</v>
      </c>
      <c r="C32" s="120">
        <f t="shared" ref="C32:L32" si="10">SUM(C28:C31)</f>
        <v>78060500</v>
      </c>
      <c r="D32" s="120">
        <f>SUM(D28:D31)</f>
        <v>800000</v>
      </c>
      <c r="E32" s="120">
        <f>SUM(E28:E31)</f>
        <v>12570000</v>
      </c>
      <c r="F32" s="120">
        <f t="shared" si="10"/>
        <v>57801500</v>
      </c>
      <c r="G32" s="120">
        <f t="shared" si="10"/>
        <v>6889000</v>
      </c>
      <c r="H32" s="120">
        <f t="shared" si="10"/>
        <v>13776500</v>
      </c>
      <c r="I32" s="120">
        <f t="shared" si="10"/>
        <v>37810500</v>
      </c>
      <c r="J32" s="120">
        <f t="shared" si="10"/>
        <v>14373500</v>
      </c>
      <c r="K32" s="120">
        <f t="shared" si="10"/>
        <v>7086000</v>
      </c>
      <c r="L32" s="120">
        <f t="shared" si="10"/>
        <v>5014000</v>
      </c>
    </row>
    <row r="35" spans="2:8" ht="16">
      <c r="B35" s="189" t="s">
        <v>148</v>
      </c>
      <c r="C35" s="113" t="s">
        <v>0</v>
      </c>
      <c r="D35" s="113" t="s">
        <v>134</v>
      </c>
      <c r="E35" s="113" t="s">
        <v>135</v>
      </c>
      <c r="F35" s="113" t="s">
        <v>136</v>
      </c>
      <c r="G35" s="113" t="s">
        <v>137</v>
      </c>
      <c r="H35" s="113" t="s">
        <v>138</v>
      </c>
    </row>
    <row r="36" spans="2:8">
      <c r="B36" s="119" t="s">
        <v>115</v>
      </c>
      <c r="C36" s="119"/>
      <c r="D36" s="119"/>
      <c r="E36" s="119"/>
      <c r="F36" s="119"/>
      <c r="G36" s="119"/>
      <c r="H36" s="119"/>
    </row>
    <row r="37" spans="2:8" ht="16">
      <c r="B37" s="117" t="s">
        <v>130</v>
      </c>
      <c r="C37" s="164">
        <f>SUM(D37:H37)</f>
        <v>14573000</v>
      </c>
      <c r="D37" s="115">
        <f>'COM Act'!T15</f>
        <v>2205000</v>
      </c>
      <c r="E37" s="115">
        <f>'MAD Act'!T16</f>
        <v>2165000</v>
      </c>
      <c r="F37" s="115">
        <f>'SEY Act'!T14</f>
        <v>2193000</v>
      </c>
      <c r="G37" s="115">
        <f>'MAU Act'!T14</f>
        <v>2173000</v>
      </c>
      <c r="H37" s="115">
        <f>REGIONAL!T32</f>
        <v>5837000</v>
      </c>
    </row>
    <row r="38" spans="2:8">
      <c r="B38" s="118" t="s">
        <v>131</v>
      </c>
      <c r="C38" s="164">
        <f>SUM(D38:H38)</f>
        <v>45567500</v>
      </c>
      <c r="D38" s="115">
        <f>'COM Act'!T36+'COM Act'!T53+'COM Act'!T89</f>
        <v>10836500</v>
      </c>
      <c r="E38" s="115">
        <f>'MAD Act'!T37+'MAD Act'!T54+'MAD Act'!T88</f>
        <v>9759000</v>
      </c>
      <c r="F38" s="115">
        <f>'SEY Act'!T36+'SEY Act'!T53+'SEY Act'!T87</f>
        <v>10503500</v>
      </c>
      <c r="G38" s="115">
        <f>'MAU Act'!T36+'MAU Act'!T52+'MAU Act'!T86</f>
        <v>9976500</v>
      </c>
      <c r="H38" s="115">
        <f>REGIONAL!T40+REGIONAL!T57+REGIONAL!T92</f>
        <v>4492000</v>
      </c>
    </row>
    <row r="39" spans="2:8" ht="16">
      <c r="B39" s="117" t="s">
        <v>132</v>
      </c>
      <c r="C39" s="164">
        <f t="shared" ref="C39:C40" si="11">SUM(D39:H39)</f>
        <v>17920000</v>
      </c>
      <c r="D39" s="115">
        <f>'COM Act'!T66+'COM Act'!T77</f>
        <v>3810000</v>
      </c>
      <c r="E39" s="115">
        <f>'MAD Act'!T66+'MAD Act'!T76</f>
        <v>4110000</v>
      </c>
      <c r="F39" s="115">
        <f>'SEY Act'!T65+'SEY Act'!T75</f>
        <v>2850000</v>
      </c>
      <c r="G39" s="115">
        <f>'MAU Act'!T64+'MAU Act'!T74</f>
        <v>3750000</v>
      </c>
      <c r="H39" s="115">
        <f>REGIONAL!T70+REGIONAL!T80</f>
        <v>3400000</v>
      </c>
    </row>
    <row r="40" spans="2:8">
      <c r="B40" s="118" t="s">
        <v>133</v>
      </c>
      <c r="C40" s="164">
        <f t="shared" si="11"/>
        <v>0</v>
      </c>
      <c r="D40" s="115"/>
      <c r="E40" s="115"/>
      <c r="F40" s="115"/>
      <c r="G40" s="115"/>
      <c r="H40" s="115">
        <f>REGIONAL!T4</f>
        <v>0</v>
      </c>
    </row>
    <row r="41" spans="2:8">
      <c r="B41" s="116" t="s">
        <v>117</v>
      </c>
      <c r="C41" s="120">
        <f t="shared" ref="C41:H41" si="12">SUM(C37:C40)</f>
        <v>78060500</v>
      </c>
      <c r="D41" s="120">
        <f t="shared" si="12"/>
        <v>16851500</v>
      </c>
      <c r="E41" s="120">
        <f t="shared" si="12"/>
        <v>16034000</v>
      </c>
      <c r="F41" s="120">
        <f t="shared" si="12"/>
        <v>15546500</v>
      </c>
      <c r="G41" s="120">
        <f t="shared" si="12"/>
        <v>15899500</v>
      </c>
      <c r="H41" s="120">
        <f t="shared" si="12"/>
        <v>13729000</v>
      </c>
    </row>
    <row r="43" spans="2:8">
      <c r="B43" s="190" t="s">
        <v>162</v>
      </c>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FAD66-4056-4C7B-B232-9F7429CE2C4E}">
  <dimension ref="A1:O43"/>
  <sheetViews>
    <sheetView topLeftCell="A26" zoomScale="120" zoomScaleNormal="120" workbookViewId="0">
      <selection activeCell="J30" sqref="J30"/>
    </sheetView>
  </sheetViews>
  <sheetFormatPr baseColWidth="10" defaultColWidth="8.83203125" defaultRowHeight="15"/>
  <cols>
    <col min="1" max="1" width="14.1640625" customWidth="1"/>
    <col min="2" max="2" width="19.6640625" customWidth="1"/>
    <col min="3" max="3" width="31" customWidth="1"/>
    <col min="4" max="6" width="14.33203125" hidden="1" customWidth="1"/>
    <col min="7" max="7" width="14.5" hidden="1" customWidth="1"/>
    <col min="8" max="8" width="14.83203125" bestFit="1" customWidth="1"/>
    <col min="9" max="9" width="12.1640625" customWidth="1"/>
    <col min="10" max="10" width="14.83203125" bestFit="1" customWidth="1"/>
    <col min="11" max="11" width="12.1640625" bestFit="1" customWidth="1"/>
    <col min="12" max="13" width="14.83203125" bestFit="1" customWidth="1"/>
    <col min="14" max="14" width="13.83203125" bestFit="1" customWidth="1"/>
    <col min="15" max="15" width="9.5" bestFit="1" customWidth="1"/>
  </cols>
  <sheetData>
    <row r="1" spans="1:14" ht="16" thickBot="1">
      <c r="A1" s="220" t="s">
        <v>170</v>
      </c>
      <c r="B1" s="221" t="s">
        <v>171</v>
      </c>
      <c r="C1" s="221" t="s">
        <v>172</v>
      </c>
      <c r="D1" s="222" t="s">
        <v>173</v>
      </c>
      <c r="E1" s="222" t="s">
        <v>174</v>
      </c>
      <c r="F1" s="222" t="s">
        <v>122</v>
      </c>
      <c r="G1" s="222" t="s">
        <v>126</v>
      </c>
      <c r="H1" s="171" t="s">
        <v>231</v>
      </c>
      <c r="I1" s="171" t="s">
        <v>312</v>
      </c>
      <c r="J1" s="171" t="s">
        <v>313</v>
      </c>
      <c r="K1" s="171" t="s">
        <v>126</v>
      </c>
      <c r="L1" s="171" t="s">
        <v>94</v>
      </c>
      <c r="M1" s="171" t="s">
        <v>122</v>
      </c>
      <c r="N1" s="171" t="s">
        <v>123</v>
      </c>
    </row>
    <row r="2" spans="1:14" ht="40" thickBot="1">
      <c r="A2" s="260" t="s">
        <v>175</v>
      </c>
      <c r="B2" s="268" t="s">
        <v>242</v>
      </c>
      <c r="C2" s="240" t="s">
        <v>254</v>
      </c>
      <c r="D2" s="233">
        <v>300000</v>
      </c>
      <c r="E2" s="233"/>
      <c r="F2" s="233"/>
      <c r="G2" s="233"/>
      <c r="H2" s="234">
        <f>REGIONAL!U21</f>
        <v>0</v>
      </c>
      <c r="I2" s="235">
        <f>REGIONAL!V21</f>
        <v>0</v>
      </c>
      <c r="J2" s="235">
        <f>REGIONAL!W22</f>
        <v>300000</v>
      </c>
      <c r="K2" s="235">
        <f>REGIONAL!X21</f>
        <v>0</v>
      </c>
      <c r="L2" s="258">
        <f>J2*($H$33-$H$32)/$J$32</f>
        <v>24393.830609932269</v>
      </c>
      <c r="N2" s="259">
        <f t="shared" ref="N2:N30" si="0">SUM(H2:J2)-SUM(L2:M2)</f>
        <v>275606.16939006775</v>
      </c>
    </row>
    <row r="3" spans="1:14" ht="40" thickBot="1">
      <c r="A3" s="261"/>
      <c r="B3" s="269"/>
      <c r="C3" s="241" t="s">
        <v>255</v>
      </c>
      <c r="D3" s="233">
        <v>300000</v>
      </c>
      <c r="E3" s="233"/>
      <c r="F3" s="233"/>
      <c r="G3" s="233"/>
      <c r="H3" s="234">
        <f>REGIONAL!U22</f>
        <v>0</v>
      </c>
      <c r="I3" s="234">
        <f>REGIONAL!V22</f>
        <v>0</v>
      </c>
      <c r="J3" s="234">
        <f>REGIONAL!W21</f>
        <v>300000</v>
      </c>
      <c r="K3" s="234">
        <f>REGIONAL!X22</f>
        <v>0</v>
      </c>
      <c r="L3" s="258">
        <f t="shared" ref="L3:L31" si="1">J3*($H$33-$H$32)/$J$32</f>
        <v>24393.830609932269</v>
      </c>
      <c r="N3" s="259">
        <f t="shared" si="0"/>
        <v>275606.16939006775</v>
      </c>
    </row>
    <row r="4" spans="1:14" ht="66" thickBot="1">
      <c r="A4" s="261"/>
      <c r="B4" s="269"/>
      <c r="C4" s="241" t="s">
        <v>256</v>
      </c>
      <c r="D4" s="233">
        <v>100000</v>
      </c>
      <c r="E4" s="233"/>
      <c r="F4" s="233"/>
      <c r="G4" s="233"/>
      <c r="H4" s="234">
        <f>REGIONAL!U23+REGIONAL!U24</f>
        <v>0</v>
      </c>
      <c r="I4" s="234">
        <f>REGIONAL!V23+REGIONAL!V24</f>
        <v>0</v>
      </c>
      <c r="J4" s="234">
        <f>REGIONAL!W23+REGIONAL!W24</f>
        <v>100000</v>
      </c>
      <c r="K4" s="234">
        <f>REGIONAL!X23+REGIONAL!X24</f>
        <v>0</v>
      </c>
      <c r="L4" s="258">
        <f t="shared" si="1"/>
        <v>8131.2768699774224</v>
      </c>
      <c r="N4" s="259">
        <f t="shared" si="0"/>
        <v>91868.723130022583</v>
      </c>
    </row>
    <row r="5" spans="1:14" ht="27" thickBot="1">
      <c r="A5" s="261"/>
      <c r="B5" s="269"/>
      <c r="C5" s="242" t="s">
        <v>176</v>
      </c>
      <c r="D5" s="233">
        <v>150000</v>
      </c>
      <c r="E5" s="233"/>
      <c r="F5" s="233"/>
      <c r="G5" s="233"/>
      <c r="H5" s="234">
        <f>REGIONAL!U25</f>
        <v>0</v>
      </c>
      <c r="I5" s="234">
        <f>REGIONAL!V25</f>
        <v>0</v>
      </c>
      <c r="J5" s="234">
        <f>REGIONAL!W25</f>
        <v>150000</v>
      </c>
      <c r="K5" s="234">
        <f>REGIONAL!X25</f>
        <v>0</v>
      </c>
      <c r="L5" s="258">
        <f t="shared" si="1"/>
        <v>12196.915304966134</v>
      </c>
      <c r="N5" s="259">
        <f t="shared" si="0"/>
        <v>137803.08469503387</v>
      </c>
    </row>
    <row r="6" spans="1:14" ht="66" thickBot="1">
      <c r="A6" s="261"/>
      <c r="B6" s="268" t="s">
        <v>243</v>
      </c>
      <c r="C6" s="242" t="s">
        <v>257</v>
      </c>
      <c r="D6" s="233">
        <v>300000</v>
      </c>
      <c r="E6" s="233"/>
      <c r="F6" s="233"/>
      <c r="G6" s="233"/>
      <c r="H6" s="234">
        <f>SUM('COM Act'!U7,'MAD Act'!U8,'SEY Act'!U6,'MAU Act'!U6)</f>
        <v>0</v>
      </c>
      <c r="I6" s="234">
        <f>SUM('COM Act'!V7,'MAD Act'!V8,'SEY Act'!V6,'MAU Act'!V6)</f>
        <v>0</v>
      </c>
      <c r="J6" s="234">
        <f>SUM('COM Act'!W7,'MAD Act'!W8,'SEY Act'!W6,'MAU Act'!W6)</f>
        <v>400000</v>
      </c>
      <c r="K6" s="234">
        <f>SUM('COM Act'!X7,'MAD Act'!X8,'SEY Act'!X6,'MAU Act'!X6)</f>
        <v>0</v>
      </c>
      <c r="L6" s="258">
        <f t="shared" si="1"/>
        <v>32525.10747990969</v>
      </c>
      <c r="N6" s="259">
        <f t="shared" si="0"/>
        <v>367474.89252009033</v>
      </c>
    </row>
    <row r="7" spans="1:14" ht="66" thickBot="1">
      <c r="A7" s="261"/>
      <c r="B7" s="269"/>
      <c r="C7" s="240" t="s">
        <v>258</v>
      </c>
      <c r="D7" s="233">
        <v>200000</v>
      </c>
      <c r="E7" s="233"/>
      <c r="F7" s="233"/>
      <c r="G7" s="233"/>
      <c r="H7" s="234">
        <f>SUM('COM Act'!U8:U10,'MAD Act'!U9:U11,'SEY Act'!U7:U9,'MAU Act'!U7:U9)</f>
        <v>0</v>
      </c>
      <c r="I7" s="234">
        <f>SUM('COM Act'!V8:V10,'MAD Act'!V9:V11,'SEY Act'!V7:V9,'MAU Act'!V7:V9)</f>
        <v>0</v>
      </c>
      <c r="J7" s="234">
        <f>SUM('COM Act'!W8:W10,'MAD Act'!W9:W11,'SEY Act'!W7:W9,'MAU Act'!W7:W9)</f>
        <v>800000</v>
      </c>
      <c r="K7" s="234">
        <f>SUM('COM Act'!X8:X10,'MAD Act'!X9:X11,'SEY Act'!X7:X9,'MAU Act'!X7:X9)</f>
        <v>0</v>
      </c>
      <c r="L7" s="258">
        <f t="shared" si="1"/>
        <v>65050.214959819379</v>
      </c>
      <c r="N7" s="259">
        <f t="shared" si="0"/>
        <v>734949.78504018066</v>
      </c>
    </row>
    <row r="8" spans="1:14" ht="27" thickBot="1">
      <c r="A8" s="261"/>
      <c r="B8" s="268" t="s">
        <v>244</v>
      </c>
      <c r="C8" s="241" t="s">
        <v>245</v>
      </c>
      <c r="D8" s="233">
        <v>3600000</v>
      </c>
      <c r="E8" s="233"/>
      <c r="F8" s="233"/>
      <c r="G8" s="233"/>
      <c r="H8" s="234">
        <f>SUM('COM Act'!U13,'MAD Act'!U14,'SEY Act'!U12,'MAU Act'!U12)</f>
        <v>0</v>
      </c>
      <c r="I8" s="234">
        <f>SUM('COM Act'!V13,'MAD Act'!V14,'SEY Act'!V12,'MAU Act'!V12)</f>
        <v>0</v>
      </c>
      <c r="J8" s="234">
        <f>SUM('COM Act'!W11,'MAD Act'!W12,'SEY Act'!W10,'MAU Act'!W10)</f>
        <v>200000</v>
      </c>
      <c r="K8" s="234">
        <f>SUM('COM Act'!X13,'MAD Act'!X14,'SEY Act'!X12,'MAU Act'!X12)</f>
        <v>0</v>
      </c>
      <c r="L8" s="258">
        <f t="shared" si="1"/>
        <v>16262.553739954845</v>
      </c>
      <c r="N8" s="259">
        <f t="shared" si="0"/>
        <v>183737.44626004517</v>
      </c>
    </row>
    <row r="9" spans="1:14" ht="27" thickBot="1">
      <c r="A9" s="261"/>
      <c r="B9" s="270"/>
      <c r="C9" s="241" t="s">
        <v>260</v>
      </c>
      <c r="D9" s="233">
        <v>2400000</v>
      </c>
      <c r="E9" s="233"/>
      <c r="F9" s="233"/>
      <c r="G9" s="233"/>
      <c r="H9" s="234">
        <f>SUM('COM Act'!U12,'MAD Act'!U13,'SEY Act'!U11,'MAU Act'!U11)</f>
        <v>0</v>
      </c>
      <c r="I9" s="234">
        <f>SUM('COM Act'!V12,'MAD Act'!V13,'SEY Act'!V11,'MAU Act'!V11)</f>
        <v>0</v>
      </c>
      <c r="J9" s="234">
        <f>SUM('COM Act'!W12:W13,'MAD Act'!W13:W14,'SEY Act'!W11:W12,'MAU Act'!W11:W12)</f>
        <v>5040000</v>
      </c>
      <c r="K9" s="234">
        <f>SUM('COM Act'!X12,'MAD Act'!X13,'SEY Act'!X11,'MAU Act'!X11)</f>
        <v>0</v>
      </c>
      <c r="L9" s="258">
        <f t="shared" si="1"/>
        <v>409816.35424686212</v>
      </c>
      <c r="N9" s="259">
        <f t="shared" si="0"/>
        <v>4630183.6457531378</v>
      </c>
    </row>
    <row r="10" spans="1:14" ht="27" thickBot="1">
      <c r="A10" s="261"/>
      <c r="B10" s="268" t="s">
        <v>177</v>
      </c>
      <c r="C10" s="223" t="s">
        <v>178</v>
      </c>
      <c r="D10" s="233">
        <v>500000</v>
      </c>
      <c r="E10" s="233"/>
      <c r="F10" s="233"/>
      <c r="G10" s="233"/>
      <c r="H10" s="234">
        <f>SUM('COM Act'!U4,'MAD Act'!U5,'SEY Act'!U3,'MAU Act'!U3)</f>
        <v>0</v>
      </c>
      <c r="I10" s="234">
        <f>SUM('COM Act'!V4,'MAD Act'!V5,'SEY Act'!V3,'MAU Act'!V3)</f>
        <v>0</v>
      </c>
      <c r="J10" s="234">
        <f>SUM('COM Act'!W4,'MAD Act'!W5,'SEY Act'!W3,'MAU Act'!W3)</f>
        <v>600000</v>
      </c>
      <c r="K10" s="234">
        <f>SUM('COM Act'!X4,'MAD Act'!X5,'SEY Act'!X3,'MAU Act'!X3)</f>
        <v>0</v>
      </c>
      <c r="L10" s="258">
        <f t="shared" si="1"/>
        <v>48787.661219864538</v>
      </c>
      <c r="N10" s="259">
        <f t="shared" si="0"/>
        <v>551212.3387801355</v>
      </c>
    </row>
    <row r="11" spans="1:14" ht="53" thickBot="1">
      <c r="A11" s="261"/>
      <c r="B11" s="269"/>
      <c r="C11" s="241" t="s">
        <v>261</v>
      </c>
      <c r="D11" s="233">
        <v>2000000</v>
      </c>
      <c r="E11" s="233" t="s">
        <v>179</v>
      </c>
      <c r="F11" s="233" t="s">
        <v>179</v>
      </c>
      <c r="G11" s="233" t="s">
        <v>179</v>
      </c>
      <c r="H11" s="234">
        <f>SUM('COM Act'!U5:U6,'MAD Act'!U6:U7,'SEY Act'!U4:U5,'MAU Act'!U4:U5)</f>
        <v>0</v>
      </c>
      <c r="I11" s="234">
        <f>SUM('COM Act'!V5:V6,'MAD Act'!V6:V7,'SEY Act'!V4:V5,'MAU Act'!V4:V5)</f>
        <v>0</v>
      </c>
      <c r="J11" s="234">
        <f>SUM('COM Act'!W5:W6,'MAD Act'!W6:W7,'SEY Act'!W4:W5,'MAU Act'!W4:W5)</f>
        <v>1696000</v>
      </c>
      <c r="K11" s="234">
        <f>SUM('COM Act'!X5:X6,'MAD Act'!X6:X7,'SEY Act'!X4:X5,'MAU Act'!X4:X5)</f>
        <v>0</v>
      </c>
      <c r="L11" s="258">
        <f t="shared" si="1"/>
        <v>137906.4557148171</v>
      </c>
      <c r="N11" s="259">
        <f t="shared" si="0"/>
        <v>1558093.5442851828</v>
      </c>
    </row>
    <row r="12" spans="1:14" ht="27" thickBot="1">
      <c r="A12" s="260" t="s">
        <v>180</v>
      </c>
      <c r="B12" s="263" t="s">
        <v>181</v>
      </c>
      <c r="C12" s="223" t="s">
        <v>182</v>
      </c>
      <c r="D12" s="233">
        <v>16000000</v>
      </c>
      <c r="E12" s="233">
        <v>3000000</v>
      </c>
      <c r="F12" s="233"/>
      <c r="G12" s="233">
        <v>2000000</v>
      </c>
      <c r="H12" s="234">
        <f>SUM('COM Act'!U18:U34,'MAD Act'!U19:U35,'SEY Act'!U19:U34,'MAU Act'!U19:U34)</f>
        <v>800000</v>
      </c>
      <c r="I12" s="234">
        <f>SUM('COM Act'!V18:V34,'MAD Act'!V19:V35,'SEY Act'!V19:V34,'MAU Act'!V19:V34)</f>
        <v>0</v>
      </c>
      <c r="J12" s="234">
        <f>SUM('COM Act'!W18:W34,'MAD Act'!W19:W35,'SEY Act'!W19:W34,'MAU Act'!W19:W34)</f>
        <v>19553500</v>
      </c>
      <c r="K12" s="234">
        <f>SUM('COM Act'!X18:X34,'MAD Act'!X19:X35,'SEY Act'!X19:X34,'MAU Act'!X19:X34)</f>
        <v>1000000</v>
      </c>
      <c r="L12" s="258">
        <f t="shared" si="1"/>
        <v>1589949.2227710353</v>
      </c>
      <c r="N12" s="259">
        <f t="shared" si="0"/>
        <v>18763550.777228966</v>
      </c>
    </row>
    <row r="13" spans="1:14" ht="33" customHeight="1" thickBot="1">
      <c r="A13" s="261"/>
      <c r="B13" s="265"/>
      <c r="C13" s="223" t="s">
        <v>183</v>
      </c>
      <c r="D13" s="233">
        <v>17000000</v>
      </c>
      <c r="E13" s="233">
        <v>2000000</v>
      </c>
      <c r="F13" s="233">
        <v>500000</v>
      </c>
      <c r="G13" s="233"/>
      <c r="H13" s="234">
        <f>SUM('COM Act'!U40:U49,'MAD Act'!U41:U50,'SEY Act'!U40:U49,'MAU Act'!U40:U48)</f>
        <v>0</v>
      </c>
      <c r="I13" s="234">
        <f>SUM('COM Act'!V40:V49,'MAD Act'!V41:V50,'SEY Act'!V40:V49,'MAU Act'!V40:V48)</f>
        <v>0</v>
      </c>
      <c r="J13" s="234">
        <f>SUM('COM Act'!W40:W49,'MAD Act'!W41:W50,'SEY Act'!W40:W49,'MAU Act'!W40:W48)</f>
        <v>10300000</v>
      </c>
      <c r="K13" s="234">
        <f>SUM('COM Act'!X40:X49,'MAD Act'!X41:X50,'SEY Act'!X40:X49,'MAU Act'!X40:X48)</f>
        <v>0</v>
      </c>
      <c r="L13" s="258">
        <f t="shared" si="1"/>
        <v>837521.51760767458</v>
      </c>
      <c r="N13" s="259">
        <f t="shared" si="0"/>
        <v>9462478.482392326</v>
      </c>
    </row>
    <row r="14" spans="1:14" ht="16" thickBot="1">
      <c r="A14" s="261"/>
      <c r="B14" s="264" t="s">
        <v>184</v>
      </c>
      <c r="C14" s="223" t="s">
        <v>314</v>
      </c>
      <c r="D14" s="233"/>
      <c r="E14" s="233">
        <v>800000</v>
      </c>
      <c r="F14" s="233"/>
      <c r="G14" s="233"/>
      <c r="H14" s="234">
        <f>REGIONAL!U35</f>
        <v>0</v>
      </c>
      <c r="I14" s="234">
        <f>REGIONAL!V35</f>
        <v>0</v>
      </c>
      <c r="J14" s="234">
        <f>REGIONAL!W35</f>
        <v>800000</v>
      </c>
      <c r="K14" s="234">
        <f>REGIONAL!X35</f>
        <v>0</v>
      </c>
      <c r="L14" s="258">
        <f t="shared" si="1"/>
        <v>65050.214959819379</v>
      </c>
      <c r="N14" s="259">
        <f t="shared" si="0"/>
        <v>734949.78504018066</v>
      </c>
    </row>
    <row r="15" spans="1:14" ht="40" thickBot="1">
      <c r="A15" s="261"/>
      <c r="B15" s="264"/>
      <c r="C15" s="223" t="s">
        <v>185</v>
      </c>
      <c r="D15" s="233"/>
      <c r="E15" s="233">
        <v>500000</v>
      </c>
      <c r="F15" s="233"/>
      <c r="G15" s="233"/>
      <c r="H15" s="234">
        <f>REGIONAL!U44</f>
        <v>0</v>
      </c>
      <c r="I15" s="234">
        <f>REGIONAL!V44</f>
        <v>0</v>
      </c>
      <c r="J15" s="234">
        <f>REGIONAL!W44</f>
        <v>700000</v>
      </c>
      <c r="K15" s="234">
        <f>REGIONAL!X44</f>
        <v>0</v>
      </c>
      <c r="L15" s="258">
        <f t="shared" si="1"/>
        <v>56918.938089841962</v>
      </c>
      <c r="N15" s="259">
        <f t="shared" si="0"/>
        <v>643081.06191015802</v>
      </c>
    </row>
    <row r="16" spans="1:14" ht="27" thickBot="1">
      <c r="A16" s="261"/>
      <c r="B16" s="268" t="s">
        <v>186</v>
      </c>
      <c r="C16" s="245" t="s">
        <v>269</v>
      </c>
      <c r="D16" s="235">
        <v>2000000</v>
      </c>
      <c r="E16" s="235"/>
      <c r="F16" s="235"/>
      <c r="G16" s="235"/>
      <c r="H16" s="234">
        <f>SUM(REGIONAL!U45)</f>
        <v>0</v>
      </c>
      <c r="I16" s="234">
        <f>SUM(REGIONAL!V45)</f>
        <v>0</v>
      </c>
      <c r="J16" s="234">
        <f>SUM(REGIONAL!W45)</f>
        <v>500000</v>
      </c>
      <c r="K16" s="234">
        <f>SUM(REGIONAL!X45)</f>
        <v>0</v>
      </c>
      <c r="L16" s="258">
        <f t="shared" si="1"/>
        <v>40656.384349887114</v>
      </c>
      <c r="N16" s="259">
        <f t="shared" si="0"/>
        <v>459343.61565011286</v>
      </c>
    </row>
    <row r="17" spans="1:14" ht="27" thickBot="1">
      <c r="A17" s="261"/>
      <c r="B17" s="269"/>
      <c r="C17" s="244" t="s">
        <v>270</v>
      </c>
      <c r="D17" s="233">
        <v>500000</v>
      </c>
      <c r="E17" s="233"/>
      <c r="F17" s="233">
        <v>500000</v>
      </c>
      <c r="G17" s="233"/>
      <c r="H17" s="234">
        <f>SUM(REGIONAL!U46)</f>
        <v>0</v>
      </c>
      <c r="I17" s="234">
        <f>SUM(REGIONAL!V46)</f>
        <v>0</v>
      </c>
      <c r="J17" s="234">
        <f>SUM(REGIONAL!W46)</f>
        <v>700000</v>
      </c>
      <c r="K17" s="234">
        <f>SUM(REGIONAL!X46)</f>
        <v>0</v>
      </c>
      <c r="L17" s="258">
        <f t="shared" si="1"/>
        <v>56918.938089841962</v>
      </c>
      <c r="N17" s="259">
        <f t="shared" si="0"/>
        <v>643081.06191015802</v>
      </c>
    </row>
    <row r="18" spans="1:14" ht="40" thickBot="1">
      <c r="A18" s="261"/>
      <c r="B18" s="269"/>
      <c r="C18" s="244" t="s">
        <v>246</v>
      </c>
      <c r="D18" s="233">
        <v>500000</v>
      </c>
      <c r="E18" s="233"/>
      <c r="F18" s="233">
        <v>500000</v>
      </c>
      <c r="G18" s="233"/>
      <c r="H18" s="234">
        <f>SUM(REGIONAL!U47)</f>
        <v>0</v>
      </c>
      <c r="I18" s="234">
        <f>SUM(REGIONAL!V47)</f>
        <v>0</v>
      </c>
      <c r="J18" s="234">
        <f>SUM(REGIONAL!W47)</f>
        <v>500000</v>
      </c>
      <c r="K18" s="234">
        <f>SUM(REGIONAL!X47)</f>
        <v>0</v>
      </c>
      <c r="L18" s="258">
        <f t="shared" si="1"/>
        <v>40656.384349887114</v>
      </c>
      <c r="N18" s="259">
        <f t="shared" si="0"/>
        <v>459343.61565011286</v>
      </c>
    </row>
    <row r="19" spans="1:14" ht="53" thickBot="1">
      <c r="A19" s="261"/>
      <c r="B19" s="269"/>
      <c r="C19" s="244" t="s">
        <v>247</v>
      </c>
      <c r="D19" s="233">
        <v>500000</v>
      </c>
      <c r="E19" s="233"/>
      <c r="F19" s="233">
        <v>500000</v>
      </c>
      <c r="G19" s="233"/>
      <c r="H19" s="234">
        <f>SUM(REGIONAL!U48)</f>
        <v>0</v>
      </c>
      <c r="I19" s="234">
        <f>SUM(REGIONAL!V48)</f>
        <v>0</v>
      </c>
      <c r="J19" s="234">
        <f>SUM(REGIONAL!W48)</f>
        <v>500000</v>
      </c>
      <c r="K19" s="234">
        <f>SUM(REGIONAL!X48)</f>
        <v>0</v>
      </c>
      <c r="L19" s="258">
        <f t="shared" si="1"/>
        <v>40656.384349887114</v>
      </c>
      <c r="N19" s="259">
        <f t="shared" si="0"/>
        <v>459343.61565011286</v>
      </c>
    </row>
    <row r="20" spans="1:14" ht="27" thickBot="1">
      <c r="A20" s="261"/>
      <c r="B20" s="269"/>
      <c r="C20" s="244" t="s">
        <v>248</v>
      </c>
      <c r="D20" s="233">
        <v>500000</v>
      </c>
      <c r="E20" s="233"/>
      <c r="F20" s="233">
        <v>500000</v>
      </c>
      <c r="G20" s="233"/>
      <c r="H20" s="234">
        <f>SUM('COM Act'!U50,'MAD Act'!U51,'SEY Act'!U50,'MAU Act'!U49)</f>
        <v>0</v>
      </c>
      <c r="I20" s="234">
        <f>SUM('COM Act'!V50,'MAD Act'!V51,'SEY Act'!V50,'MAU Act'!V49)</f>
        <v>0</v>
      </c>
      <c r="J20" s="234">
        <f>SUM('COM Act'!W50,'MAD Act'!W51,'SEY Act'!W50,'MAU Act'!W49)</f>
        <v>1200000</v>
      </c>
      <c r="K20" s="234">
        <f>SUM('COM Act'!X50,'MAD Act'!X51,'SEY Act'!X50,'MAU Act'!X49)</f>
        <v>0</v>
      </c>
      <c r="L20" s="258">
        <f t="shared" si="1"/>
        <v>97575.322439729076</v>
      </c>
      <c r="N20" s="259">
        <f t="shared" si="0"/>
        <v>1102424.677560271</v>
      </c>
    </row>
    <row r="21" spans="1:14" ht="27" thickBot="1">
      <c r="A21" s="262"/>
      <c r="B21" s="270"/>
      <c r="C21" s="244" t="s">
        <v>262</v>
      </c>
      <c r="D21" s="233">
        <v>500000</v>
      </c>
      <c r="E21" s="233"/>
      <c r="F21" s="233">
        <v>500000</v>
      </c>
      <c r="G21" s="233"/>
      <c r="H21" s="234">
        <f>SUM('COM Act'!U51,'COM Act'!U72:U75,'MAD Act'!U52,'MAD Act'!U72:U74,'SEY Act'!U51,'SEY Act'!U71:U73,'MAU Act'!U50,'MAU Act'!U70:U72)</f>
        <v>0</v>
      </c>
      <c r="I21" s="234">
        <f>SUM('COM Act'!V51,'COM Act'!V72:V75,'MAD Act'!V52,'MAD Act'!V72:V74,'SEY Act'!V51,'SEY Act'!V71:V73,'MAU Act'!V50,'MAU Act'!V70:V72)</f>
        <v>0</v>
      </c>
      <c r="J21" s="234">
        <f>SUM('COM Act'!W51,'COM Act'!W72:W75,'MAD Act'!W52,'MAD Act'!W72:W74,'SEY Act'!W51,'SEY Act'!W71:W73,'MAU Act'!W50,'MAU Act'!W70:W72)</f>
        <v>4170000</v>
      </c>
      <c r="K21" s="234">
        <f>SUM('COM Act'!X51,'COM Act'!X72:X75,'MAD Act'!X52,'MAD Act'!X72:X74,'SEY Act'!X51,'SEY Act'!X71:X73,'MAU Act'!X50,'MAU Act'!X70:X72)</f>
        <v>0</v>
      </c>
      <c r="L21" s="258">
        <f t="shared" si="1"/>
        <v>339074.24547805852</v>
      </c>
      <c r="N21" s="259">
        <f t="shared" si="0"/>
        <v>3830925.7545219413</v>
      </c>
    </row>
    <row r="22" spans="1:14" ht="48.5" customHeight="1" thickBot="1">
      <c r="A22" s="260" t="s">
        <v>187</v>
      </c>
      <c r="B22" s="263" t="s">
        <v>253</v>
      </c>
      <c r="C22" s="247" t="s">
        <v>273</v>
      </c>
      <c r="D22" s="233">
        <v>1000000</v>
      </c>
      <c r="E22" s="233"/>
      <c r="F22" s="233">
        <v>500000</v>
      </c>
      <c r="G22" s="233"/>
      <c r="H22" s="233">
        <f>SUM('COM Act'!U58:U61,'COM Act'!U70,'MAD Act'!U58:U61,'MAD Act'!U70,'SEY Act'!U57:U60,'SEY Act'!U69,'MAU Act'!U56:U59,'MAU Act'!U68)</f>
        <v>0</v>
      </c>
      <c r="I22" s="233">
        <f>SUM('COM Act'!V58:V61,'COM Act'!V70,'MAD Act'!V58:V61,'MAD Act'!V70,'SEY Act'!V57:V60,'SEY Act'!V69,'MAU Act'!V56:V59,'MAU Act'!V68)</f>
        <v>6330000</v>
      </c>
      <c r="J22" s="233">
        <f>SUM('COM Act'!W58:W61,'COM Act'!W70,'MAD Act'!W58:W61,'MAD Act'!W70,'SEY Act'!W57:W60,'SEY Act'!W69,'MAU Act'!W56:W59,'MAU Act'!W68)</f>
        <v>0</v>
      </c>
      <c r="K22" s="233">
        <f>SUM('COM Act'!X58:X61,'COM Act'!X70,'MAD Act'!X58:X61,'MAD Act'!X70,'SEY Act'!X57:X60,'SEY Act'!X69,'MAU Act'!X56:X59,'MAU Act'!X68)</f>
        <v>0</v>
      </c>
      <c r="L22" s="258">
        <f t="shared" ref="L22:L26" si="2">(I22-M22)*($H$33-$H$32)/($J$32-I27)</f>
        <v>280679.139482903</v>
      </c>
      <c r="M22">
        <f>I22*$I$33/$I$32</f>
        <v>3021479.7136038188</v>
      </c>
      <c r="N22" s="259">
        <f t="shared" si="0"/>
        <v>3027841.1469132784</v>
      </c>
    </row>
    <row r="23" spans="1:14" ht="40" thickBot="1">
      <c r="A23" s="261"/>
      <c r="B23" s="264"/>
      <c r="C23" s="245" t="s">
        <v>274</v>
      </c>
      <c r="D23" s="233">
        <v>1000000</v>
      </c>
      <c r="E23" s="233"/>
      <c r="F23" s="233">
        <v>500000</v>
      </c>
      <c r="G23" s="233"/>
      <c r="H23" s="234">
        <f>SUM('COM Act'!U62,'COM Act'!U71,'MAD Act'!U62,'MAD Act'!U71,'SEY Act'!U61,'SEY Act'!U70,'MAU Act'!U60,'MAU Act'!U69)</f>
        <v>0</v>
      </c>
      <c r="I23" s="234">
        <f>SUM('COM Act'!V62,'COM Act'!V71,'MAD Act'!V62,'MAD Act'!V71,'SEY Act'!V61,'SEY Act'!V70,'MAU Act'!V60,'MAU Act'!V69)</f>
        <v>2640000</v>
      </c>
      <c r="J23" s="234">
        <f>SUM('COM Act'!W62,'COM Act'!W71,'MAD Act'!W62,'MAD Act'!W71,'SEY Act'!W61,'SEY Act'!W70,'MAU Act'!W60,'MAU Act'!W69)</f>
        <v>0</v>
      </c>
      <c r="K23" s="234">
        <f>SUM('COM Act'!X62,'COM Act'!X71,'MAD Act'!X62,'MAD Act'!X71,'SEY Act'!X61,'SEY Act'!X70,'MAU Act'!X60,'MAU Act'!X69)</f>
        <v>0</v>
      </c>
      <c r="L23" s="258">
        <f t="shared" si="2"/>
        <v>112199.97697246174</v>
      </c>
      <c r="M23">
        <f t="shared" ref="M23:M27" si="3">I23*$I$33/$I$32</f>
        <v>1260143.1980906921</v>
      </c>
      <c r="N23" s="259">
        <f t="shared" si="0"/>
        <v>1267656.8249368463</v>
      </c>
    </row>
    <row r="24" spans="1:14" ht="60.5" customHeight="1" thickBot="1">
      <c r="A24" s="261"/>
      <c r="B24" s="263" t="s">
        <v>252</v>
      </c>
      <c r="C24" s="246" t="s">
        <v>271</v>
      </c>
      <c r="D24" s="233">
        <v>500000</v>
      </c>
      <c r="E24" s="233"/>
      <c r="F24" s="233">
        <v>500000</v>
      </c>
      <c r="G24" s="233"/>
      <c r="H24" s="248">
        <f>SUM(REGIONAL!U28:U29)</f>
        <v>0</v>
      </c>
      <c r="I24" s="248">
        <f>SUM(REGIONAL!V28)</f>
        <v>400000</v>
      </c>
      <c r="J24" s="248">
        <f>SUM(REGIONAL!W28:W29)</f>
        <v>0</v>
      </c>
      <c r="K24" s="248">
        <f>SUM(REGIONAL!X28:X29)</f>
        <v>0</v>
      </c>
      <c r="L24" s="258">
        <f t="shared" si="2"/>
        <v>16999.996510979054</v>
      </c>
      <c r="M24">
        <f t="shared" si="3"/>
        <v>190930.7875894988</v>
      </c>
      <c r="N24" s="259">
        <f t="shared" si="0"/>
        <v>192069.21589952215</v>
      </c>
    </row>
    <row r="25" spans="1:14" ht="63.5" customHeight="1" thickBot="1">
      <c r="A25" s="261"/>
      <c r="B25" s="265"/>
      <c r="C25" s="245" t="s">
        <v>272</v>
      </c>
      <c r="D25" s="233">
        <v>1000000</v>
      </c>
      <c r="E25" s="233"/>
      <c r="F25" s="233">
        <v>500000</v>
      </c>
      <c r="G25" s="233"/>
      <c r="H25" s="248">
        <f>REGIONAL!U27</f>
        <v>0</v>
      </c>
      <c r="I25" s="248">
        <f>REGIONAL!V27</f>
        <v>400000</v>
      </c>
      <c r="J25" s="248">
        <f>REGIONAL!W27</f>
        <v>0</v>
      </c>
      <c r="K25" s="248">
        <f>REGIONAL!X27</f>
        <v>0</v>
      </c>
      <c r="L25" s="258">
        <f t="shared" si="2"/>
        <v>16999.996510979054</v>
      </c>
      <c r="M25">
        <f>I25*$I$33/$I$32</f>
        <v>190930.7875894988</v>
      </c>
      <c r="N25" s="259">
        <f t="shared" si="0"/>
        <v>192069.21589952215</v>
      </c>
    </row>
    <row r="26" spans="1:14" ht="40" thickBot="1">
      <c r="A26" s="261"/>
      <c r="B26" s="263" t="s">
        <v>251</v>
      </c>
      <c r="C26" s="249" t="s">
        <v>277</v>
      </c>
      <c r="D26" s="233">
        <v>500000</v>
      </c>
      <c r="E26" s="233"/>
      <c r="F26" s="233">
        <v>500000</v>
      </c>
      <c r="G26" s="233"/>
      <c r="H26" s="248">
        <f>SUM(REGIONAL!U29)</f>
        <v>0</v>
      </c>
      <c r="I26" s="248">
        <f>SUM(REGIONAL!V29)</f>
        <v>400000</v>
      </c>
      <c r="J26" s="248">
        <f>SUM(REGIONAL!W29)</f>
        <v>0</v>
      </c>
      <c r="K26" s="248">
        <f>SUM(REGIONAL!X29)</f>
        <v>0</v>
      </c>
      <c r="L26" s="258">
        <f t="shared" si="2"/>
        <v>16999.996510979054</v>
      </c>
      <c r="M26">
        <f t="shared" si="3"/>
        <v>190930.7875894988</v>
      </c>
      <c r="N26" s="259">
        <f t="shared" si="0"/>
        <v>192069.21589952215</v>
      </c>
    </row>
    <row r="27" spans="1:14" ht="92" thickBot="1">
      <c r="A27" s="261"/>
      <c r="B27" s="264"/>
      <c r="C27" s="245" t="s">
        <v>278</v>
      </c>
      <c r="D27" s="233">
        <v>1000000</v>
      </c>
      <c r="E27" s="233"/>
      <c r="F27" s="233">
        <v>1000000</v>
      </c>
      <c r="G27" s="233"/>
      <c r="H27" s="234">
        <f>SUM('COM Act'!U63:U64,'MAD Act'!U63:U64,'SEY Act'!U62:U63,'MAU Act'!U61:U62)</f>
        <v>0</v>
      </c>
      <c r="I27" s="234">
        <f>SUM('COM Act'!V63:V64,'MAD Act'!V63:V64,'SEY Act'!V62:V63,'MAU Act'!V61:V62)</f>
        <v>2400000</v>
      </c>
      <c r="J27" s="234">
        <f>SUM('COM Act'!W63:W64,'MAD Act'!W63:W64,'SEY Act'!W62:W63,'MAU Act'!W61:W62)</f>
        <v>0</v>
      </c>
      <c r="K27" s="234">
        <f>SUM('COM Act'!X63:X64,'MAD Act'!X63:X64,'SEY Act'!X62:X63,'MAU Act'!X61:X62)</f>
        <v>0</v>
      </c>
      <c r="L27" s="258">
        <f>(I27-M27)*($H$33-$H$32)/($J$32-I32)</f>
        <v>130346.14792735447</v>
      </c>
      <c r="M27">
        <f t="shared" si="3"/>
        <v>1145584.7255369928</v>
      </c>
      <c r="N27" s="259">
        <f t="shared" si="0"/>
        <v>1124069.1265356527</v>
      </c>
    </row>
    <row r="28" spans="1:14" ht="27" thickBot="1">
      <c r="A28" s="261"/>
      <c r="B28" s="264"/>
      <c r="C28" s="245" t="s">
        <v>250</v>
      </c>
      <c r="D28" s="233">
        <v>1000000</v>
      </c>
      <c r="E28" s="233"/>
      <c r="F28" s="233">
        <v>1000000</v>
      </c>
      <c r="G28" s="233"/>
      <c r="H28" s="234">
        <f>SUM(REGIONAL!U26)</f>
        <v>0</v>
      </c>
      <c r="I28" s="234">
        <f>SUM(REGIONAL!V74,REGIONAL!V26)</f>
        <v>0</v>
      </c>
      <c r="J28" s="234">
        <f>SUM(REGIONAL!W74,REGIONAL!W26)</f>
        <v>2650000</v>
      </c>
      <c r="K28" s="234">
        <f>SUM(REGIONAL!X74,REGIONAL!X26)</f>
        <v>0</v>
      </c>
      <c r="L28" s="258">
        <f t="shared" si="1"/>
        <v>215478.83705440169</v>
      </c>
      <c r="N28" s="259">
        <f t="shared" si="0"/>
        <v>2434521.1629455984</v>
      </c>
    </row>
    <row r="29" spans="1:14" ht="40" thickBot="1">
      <c r="A29" s="262"/>
      <c r="B29" s="265"/>
      <c r="C29" s="239" t="s">
        <v>249</v>
      </c>
      <c r="D29" s="233">
        <v>300000</v>
      </c>
      <c r="E29" s="233"/>
      <c r="F29" s="233">
        <v>200000</v>
      </c>
      <c r="G29" s="233"/>
      <c r="H29" s="234">
        <f>SUM(REGIONAL!U75:U76)</f>
        <v>0</v>
      </c>
      <c r="I29" s="234">
        <f>SUM(REGIONAL!V75:V76)</f>
        <v>0</v>
      </c>
      <c r="J29" s="234">
        <f>SUM(REGIONAL!W75:W76)</f>
        <v>900000</v>
      </c>
      <c r="K29" s="234">
        <f>SUM(REGIONAL!X75:X76)</f>
        <v>0</v>
      </c>
      <c r="L29" s="258">
        <f t="shared" si="1"/>
        <v>73181.491829796811</v>
      </c>
      <c r="N29" s="259">
        <f t="shared" si="0"/>
        <v>826818.50817020319</v>
      </c>
    </row>
    <row r="30" spans="1:14" ht="16" thickBot="1">
      <c r="A30" s="266" t="s">
        <v>188</v>
      </c>
      <c r="B30" s="225" t="s">
        <v>189</v>
      </c>
      <c r="C30" s="224" t="s">
        <v>190</v>
      </c>
      <c r="D30" s="233">
        <v>4000000</v>
      </c>
      <c r="E30" s="233"/>
      <c r="F30" s="233"/>
      <c r="G30" s="233"/>
      <c r="H30" s="234">
        <f>REGIONAL!U4</f>
        <v>0</v>
      </c>
      <c r="I30" s="234">
        <f>REGIONAL!V4</f>
        <v>0</v>
      </c>
      <c r="J30" s="234">
        <f>SUM(REGIONAL!W5:W20)</f>
        <v>3637000</v>
      </c>
      <c r="K30" s="234">
        <f>REGIONAL!X4</f>
        <v>0</v>
      </c>
      <c r="L30" s="258">
        <v>600000</v>
      </c>
      <c r="N30" s="259">
        <f t="shared" si="0"/>
        <v>3037000</v>
      </c>
    </row>
    <row r="31" spans="1:14" ht="16" thickBot="1">
      <c r="A31" s="267"/>
      <c r="B31" s="225" t="s">
        <v>191</v>
      </c>
      <c r="C31" s="224" t="s">
        <v>192</v>
      </c>
      <c r="D31" s="233">
        <v>2000000</v>
      </c>
      <c r="E31" s="233"/>
      <c r="F31" s="233"/>
      <c r="G31" s="233">
        <v>4000000</v>
      </c>
      <c r="H31" s="234">
        <f>SUM('COM Act'!U86:U87,'MAD Act'!U85:U86,'SEY Act'!U84:U85,'MAU Act'!U83:U84,REGIONAL!U89:U90)</f>
        <v>0</v>
      </c>
      <c r="I31" s="234">
        <f>SUM('COM Act'!V86:V87,'MAD Act'!V85:V86,'SEY Act'!V84:V85,'MAU Act'!V83:V84,REGIONAL!V89:V90)</f>
        <v>0</v>
      </c>
      <c r="J31" s="234">
        <f>SUM('COM Act'!W86:W87,'MAD Act'!W85:W86,'SEY Act'!W84:W85,'MAU Act'!W83:W84,REGIONAL!W89:W90)</f>
        <v>2105000</v>
      </c>
      <c r="K31" s="234">
        <f>SUM('COM Act'!X86:X87,'MAD Act'!X85:X86,'SEY Act'!X84:X85,'MAU Act'!X83:X84,REGIONAL!X89:X90)</f>
        <v>5889000</v>
      </c>
      <c r="L31" s="258">
        <f t="shared" si="1"/>
        <v>171163.37811302475</v>
      </c>
      <c r="N31" s="259">
        <f>SUM(H31:J31)-SUM(L31:M31)</f>
        <v>1933836.6218869751</v>
      </c>
    </row>
    <row r="32" spans="1:14">
      <c r="D32" s="226">
        <f t="shared" ref="D32:N32" si="4">SUM(D2:D31)</f>
        <v>59650000</v>
      </c>
      <c r="E32" s="236">
        <f t="shared" si="4"/>
        <v>6300000</v>
      </c>
      <c r="F32" s="237">
        <f t="shared" si="4"/>
        <v>7700000</v>
      </c>
      <c r="G32" s="226">
        <f t="shared" si="4"/>
        <v>6000000</v>
      </c>
      <c r="H32" s="226">
        <f t="shared" si="4"/>
        <v>800000</v>
      </c>
      <c r="I32" s="226">
        <f t="shared" si="4"/>
        <v>12570000</v>
      </c>
      <c r="J32" s="226">
        <f t="shared" si="4"/>
        <v>57801500</v>
      </c>
      <c r="K32" s="226">
        <f t="shared" si="4"/>
        <v>6889000</v>
      </c>
      <c r="L32" s="226">
        <f t="shared" si="4"/>
        <v>5578490.7141545769</v>
      </c>
      <c r="M32" s="226">
        <f t="shared" si="4"/>
        <v>6000000</v>
      </c>
      <c r="N32" s="226">
        <f t="shared" si="4"/>
        <v>59593009.285845406</v>
      </c>
    </row>
    <row r="33" spans="3:15">
      <c r="H33">
        <v>5500000</v>
      </c>
      <c r="I33">
        <v>6000000</v>
      </c>
      <c r="J33" s="254">
        <f>J30/J32</f>
        <v>6.2922242502357201E-2</v>
      </c>
    </row>
    <row r="35" spans="3:15">
      <c r="H35" t="s">
        <v>232</v>
      </c>
      <c r="I35" t="s">
        <v>233</v>
      </c>
      <c r="J35" t="s">
        <v>234</v>
      </c>
      <c r="K35" t="s">
        <v>235</v>
      </c>
      <c r="L35" t="s">
        <v>236</v>
      </c>
    </row>
    <row r="36" spans="3:15">
      <c r="C36" t="s">
        <v>237</v>
      </c>
      <c r="H36" s="238">
        <f>'COM Act'!T93</f>
        <v>16851500</v>
      </c>
      <c r="I36" s="238">
        <f>'MAD Act'!T92</f>
        <v>16034000</v>
      </c>
      <c r="J36" s="238">
        <f>'SEY Act'!T91</f>
        <v>15546500</v>
      </c>
      <c r="K36" s="238">
        <f>'MAU Act'!T90</f>
        <v>15899500</v>
      </c>
      <c r="L36" s="238">
        <f>REGIONAL!T96</f>
        <v>13729000</v>
      </c>
      <c r="M36" s="238">
        <f>SUM(H36:L36)</f>
        <v>78060500</v>
      </c>
    </row>
    <row r="37" spans="3:15">
      <c r="C37" t="s">
        <v>238</v>
      </c>
      <c r="H37" s="238">
        <f>'COM Act'!U93</f>
        <v>800000</v>
      </c>
      <c r="I37" s="238">
        <f>'MAD Act'!U92</f>
        <v>0</v>
      </c>
      <c r="J37" s="238">
        <f>'SEY Act'!U91</f>
        <v>0</v>
      </c>
      <c r="K37" s="238">
        <f>'MAU Act'!U90</f>
        <v>0</v>
      </c>
      <c r="L37" s="238">
        <f>REGIONAL!U96</f>
        <v>0</v>
      </c>
      <c r="M37" s="238">
        <f t="shared" ref="M37:M41" si="5">SUM(H37:L37)</f>
        <v>800000</v>
      </c>
    </row>
    <row r="38" spans="3:15">
      <c r="C38" t="s">
        <v>239</v>
      </c>
      <c r="H38" s="238">
        <f>'COM Act'!V93</f>
        <v>2610000</v>
      </c>
      <c r="I38" s="238">
        <f>'MAD Act'!V92</f>
        <v>3210000</v>
      </c>
      <c r="J38" s="238">
        <f>'SEY Act'!V91</f>
        <v>2400000</v>
      </c>
      <c r="K38" s="238">
        <f>'MAU Act'!V90</f>
        <v>3150000</v>
      </c>
      <c r="L38" s="238">
        <f>REGIONAL!V96</f>
        <v>1200000</v>
      </c>
      <c r="M38" s="238">
        <f t="shared" si="5"/>
        <v>12570000</v>
      </c>
    </row>
    <row r="39" spans="3:15">
      <c r="C39" t="s">
        <v>240</v>
      </c>
      <c r="H39" s="238">
        <f>'COM Act'!W93</f>
        <v>12174500</v>
      </c>
      <c r="I39" s="238">
        <f>'MAD Act'!W92</f>
        <v>11806000</v>
      </c>
      <c r="J39" s="238">
        <f>'SEY Act'!W91</f>
        <v>10284500</v>
      </c>
      <c r="K39" s="238">
        <f>'MAU Act'!W90</f>
        <v>11007500</v>
      </c>
      <c r="L39" s="238">
        <f>REGIONAL!W96</f>
        <v>12529000</v>
      </c>
      <c r="M39" s="238">
        <f t="shared" si="5"/>
        <v>57801500</v>
      </c>
    </row>
    <row r="40" spans="3:15">
      <c r="C40" t="s">
        <v>241</v>
      </c>
      <c r="H40" s="238">
        <f>'COM Act'!X93</f>
        <v>1267000</v>
      </c>
      <c r="I40" s="238">
        <f>'MAD Act'!X92</f>
        <v>1018000</v>
      </c>
      <c r="J40" s="238">
        <f>'SEY Act'!X91</f>
        <v>2862000</v>
      </c>
      <c r="K40" s="238">
        <f>'MAU Act'!X90</f>
        <v>1742000</v>
      </c>
      <c r="L40" s="238">
        <f>REGIONAL!X96</f>
        <v>0</v>
      </c>
      <c r="M40" s="238">
        <f t="shared" si="5"/>
        <v>6889000</v>
      </c>
    </row>
    <row r="41" spans="3:15">
      <c r="H41" s="238">
        <f>SUM(H37:H40)</f>
        <v>16851500</v>
      </c>
      <c r="I41" s="238">
        <f>SUM(I37:I40)</f>
        <v>16034000</v>
      </c>
      <c r="J41" s="238">
        <f>SUM(J37:J40)</f>
        <v>15546500</v>
      </c>
      <c r="K41" s="238">
        <f>SUM(K37:K40)</f>
        <v>15899500</v>
      </c>
      <c r="L41" s="238">
        <f>SUM(L37:L40)</f>
        <v>13729000</v>
      </c>
      <c r="M41" s="238">
        <f t="shared" si="5"/>
        <v>78060500</v>
      </c>
    </row>
    <row r="43" spans="3:15">
      <c r="O43" s="226">
        <f>M41-L32</f>
        <v>72482009.285845429</v>
      </c>
    </row>
  </sheetData>
  <mergeCells count="14">
    <mergeCell ref="A12:A21"/>
    <mergeCell ref="B12:B13"/>
    <mergeCell ref="B14:B15"/>
    <mergeCell ref="B16:B21"/>
    <mergeCell ref="B8:B9"/>
    <mergeCell ref="A2:A11"/>
    <mergeCell ref="B2:B5"/>
    <mergeCell ref="B6:B7"/>
    <mergeCell ref="B10:B11"/>
    <mergeCell ref="A22:A29"/>
    <mergeCell ref="B22:B23"/>
    <mergeCell ref="B24:B25"/>
    <mergeCell ref="B26:B29"/>
    <mergeCell ref="A30:A3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6102C-3700-624B-B84B-8A521400F4C0}">
  <dimension ref="A1:L22"/>
  <sheetViews>
    <sheetView tabSelected="1" topLeftCell="A19" workbookViewId="0">
      <selection activeCell="A14" sqref="A14"/>
    </sheetView>
  </sheetViews>
  <sheetFormatPr baseColWidth="10" defaultRowHeight="15"/>
  <cols>
    <col min="1" max="1" width="33.1640625" customWidth="1"/>
  </cols>
  <sheetData>
    <row r="1" spans="1:12" ht="32">
      <c r="A1" s="280" t="s">
        <v>315</v>
      </c>
      <c r="B1" s="280" t="s">
        <v>316</v>
      </c>
      <c r="C1" s="281" t="s">
        <v>317</v>
      </c>
      <c r="D1" s="281" t="s">
        <v>318</v>
      </c>
      <c r="E1" s="282" t="s">
        <v>319</v>
      </c>
      <c r="F1" s="283" t="s">
        <v>320</v>
      </c>
      <c r="G1" s="281" t="s">
        <v>321</v>
      </c>
      <c r="H1" s="281" t="s">
        <v>322</v>
      </c>
      <c r="I1" s="281" t="s">
        <v>323</v>
      </c>
      <c r="J1" s="281" t="s">
        <v>324</v>
      </c>
      <c r="K1" s="281" t="s">
        <v>325</v>
      </c>
      <c r="L1" s="284" t="s">
        <v>326</v>
      </c>
    </row>
    <row r="2" spans="1:12" ht="34">
      <c r="A2" s="285" t="s">
        <v>327</v>
      </c>
      <c r="B2" s="286"/>
      <c r="C2" s="287"/>
      <c r="D2" s="287"/>
      <c r="E2" s="288"/>
      <c r="F2" s="288"/>
      <c r="G2" s="287"/>
      <c r="H2" s="287"/>
      <c r="I2" s="287"/>
      <c r="J2" s="287"/>
      <c r="K2" s="287"/>
      <c r="L2" s="289"/>
    </row>
    <row r="3" spans="1:12" ht="112">
      <c r="A3" s="290" t="s">
        <v>296</v>
      </c>
      <c r="B3" s="290" t="s">
        <v>328</v>
      </c>
      <c r="C3" s="291">
        <v>60</v>
      </c>
      <c r="D3" s="291" t="s">
        <v>329</v>
      </c>
      <c r="E3" s="292">
        <v>18000</v>
      </c>
      <c r="F3" s="293">
        <f t="shared" ref="F3:F20" si="0">E3*C3</f>
        <v>1080000</v>
      </c>
      <c r="G3" s="291">
        <v>216000</v>
      </c>
      <c r="H3" s="291">
        <v>216000</v>
      </c>
      <c r="I3" s="291">
        <v>216000</v>
      </c>
      <c r="J3" s="291">
        <v>216000</v>
      </c>
      <c r="K3" s="291">
        <v>216000</v>
      </c>
      <c r="L3" s="294">
        <f t="shared" ref="L3:L20" si="1">SUM(G3:K3)</f>
        <v>1080000</v>
      </c>
    </row>
    <row r="4" spans="1:12" ht="128">
      <c r="A4" s="290" t="s">
        <v>297</v>
      </c>
      <c r="B4" s="290" t="s">
        <v>330</v>
      </c>
      <c r="C4" s="291">
        <v>60</v>
      </c>
      <c r="D4" s="291" t="s">
        <v>329</v>
      </c>
      <c r="E4" s="291">
        <v>2000</v>
      </c>
      <c r="F4" s="293">
        <f t="shared" si="0"/>
        <v>120000</v>
      </c>
      <c r="G4" s="295">
        <v>24000</v>
      </c>
      <c r="H4" s="295">
        <v>24000</v>
      </c>
      <c r="I4" s="295">
        <v>24000</v>
      </c>
      <c r="J4" s="295">
        <v>24000</v>
      </c>
      <c r="K4" s="295">
        <v>24000</v>
      </c>
      <c r="L4" s="294">
        <f t="shared" si="1"/>
        <v>120000</v>
      </c>
    </row>
    <row r="5" spans="1:12" ht="128">
      <c r="A5" s="290" t="s">
        <v>298</v>
      </c>
      <c r="B5" s="290" t="s">
        <v>331</v>
      </c>
      <c r="C5" s="291">
        <v>60</v>
      </c>
      <c r="D5" s="291" t="s">
        <v>329</v>
      </c>
      <c r="E5" s="291">
        <v>2000</v>
      </c>
      <c r="F5" s="293">
        <f t="shared" si="0"/>
        <v>120000</v>
      </c>
      <c r="G5" s="295">
        <v>24000</v>
      </c>
      <c r="H5" s="295">
        <v>24000</v>
      </c>
      <c r="I5" s="295">
        <v>24000</v>
      </c>
      <c r="J5" s="295">
        <v>24000</v>
      </c>
      <c r="K5" s="295">
        <v>24000</v>
      </c>
      <c r="L5" s="294">
        <f t="shared" si="1"/>
        <v>120000</v>
      </c>
    </row>
    <row r="6" spans="1:12" ht="128">
      <c r="A6" s="290" t="s">
        <v>299</v>
      </c>
      <c r="B6" s="290" t="s">
        <v>332</v>
      </c>
      <c r="C6" s="291">
        <v>60</v>
      </c>
      <c r="D6" s="291" t="s">
        <v>329</v>
      </c>
      <c r="E6" s="291">
        <v>2000</v>
      </c>
      <c r="F6" s="293">
        <f t="shared" si="0"/>
        <v>120000</v>
      </c>
      <c r="G6" s="295">
        <v>24000</v>
      </c>
      <c r="H6" s="295">
        <v>24000</v>
      </c>
      <c r="I6" s="295">
        <v>24000</v>
      </c>
      <c r="J6" s="295">
        <v>24000</v>
      </c>
      <c r="K6" s="295">
        <v>24000</v>
      </c>
      <c r="L6" s="294">
        <f t="shared" si="1"/>
        <v>120000</v>
      </c>
    </row>
    <row r="7" spans="1:12" ht="128">
      <c r="A7" s="290" t="s">
        <v>300</v>
      </c>
      <c r="B7" s="290" t="s">
        <v>333</v>
      </c>
      <c r="C7" s="291">
        <v>60</v>
      </c>
      <c r="D7" s="291" t="s">
        <v>329</v>
      </c>
      <c r="E7" s="291">
        <v>2000</v>
      </c>
      <c r="F7" s="293">
        <f t="shared" si="0"/>
        <v>120000</v>
      </c>
      <c r="G7" s="295">
        <v>24000</v>
      </c>
      <c r="H7" s="295">
        <v>24000</v>
      </c>
      <c r="I7" s="295">
        <v>24000</v>
      </c>
      <c r="J7" s="295">
        <v>24000</v>
      </c>
      <c r="K7" s="295">
        <v>24000</v>
      </c>
      <c r="L7" s="294">
        <f t="shared" si="1"/>
        <v>120000</v>
      </c>
    </row>
    <row r="8" spans="1:12" ht="335">
      <c r="A8" s="296" t="s">
        <v>301</v>
      </c>
      <c r="B8" s="290" t="s">
        <v>334</v>
      </c>
      <c r="C8" s="297">
        <v>7.5</v>
      </c>
      <c r="D8" s="291" t="s">
        <v>329</v>
      </c>
      <c r="E8" s="291">
        <v>11000</v>
      </c>
      <c r="F8" s="293">
        <f t="shared" si="0"/>
        <v>82500</v>
      </c>
      <c r="G8" s="291">
        <v>33000</v>
      </c>
      <c r="H8" s="291">
        <v>33000</v>
      </c>
      <c r="I8" s="291">
        <v>16500</v>
      </c>
      <c r="J8" s="295">
        <v>0</v>
      </c>
      <c r="K8" s="295">
        <v>0</v>
      </c>
      <c r="L8" s="294">
        <f t="shared" si="1"/>
        <v>82500</v>
      </c>
    </row>
    <row r="9" spans="1:12" ht="80">
      <c r="A9" s="298" t="s">
        <v>302</v>
      </c>
      <c r="B9" s="290" t="s">
        <v>335</v>
      </c>
      <c r="C9" s="291">
        <v>60</v>
      </c>
      <c r="D9" s="291" t="s">
        <v>329</v>
      </c>
      <c r="E9" s="292">
        <v>2000</v>
      </c>
      <c r="F9" s="293">
        <f t="shared" si="0"/>
        <v>120000</v>
      </c>
      <c r="G9" s="291">
        <v>24000</v>
      </c>
      <c r="H9" s="291">
        <v>24000</v>
      </c>
      <c r="I9" s="291">
        <v>24000</v>
      </c>
      <c r="J9" s="291">
        <v>24000</v>
      </c>
      <c r="K9" s="291">
        <v>24000</v>
      </c>
      <c r="L9" s="294">
        <f t="shared" si="1"/>
        <v>120000</v>
      </c>
    </row>
    <row r="10" spans="1:12" ht="80">
      <c r="A10" s="298" t="s">
        <v>303</v>
      </c>
      <c r="B10" s="290" t="s">
        <v>336</v>
      </c>
      <c r="C10" s="292">
        <v>60</v>
      </c>
      <c r="D10" s="291" t="s">
        <v>329</v>
      </c>
      <c r="E10" s="291">
        <v>1500</v>
      </c>
      <c r="F10" s="293">
        <f t="shared" si="0"/>
        <v>90000</v>
      </c>
      <c r="G10" s="291">
        <v>18000</v>
      </c>
      <c r="H10" s="291">
        <v>18000</v>
      </c>
      <c r="I10" s="291">
        <v>18000</v>
      </c>
      <c r="J10" s="291">
        <v>18000</v>
      </c>
      <c r="K10" s="291">
        <v>18000</v>
      </c>
      <c r="L10" s="294">
        <f t="shared" si="1"/>
        <v>90000</v>
      </c>
    </row>
    <row r="11" spans="1:12" ht="80">
      <c r="A11" s="290" t="s">
        <v>304</v>
      </c>
      <c r="B11" s="290" t="s">
        <v>337</v>
      </c>
      <c r="C11" s="291">
        <v>30</v>
      </c>
      <c r="D11" s="291" t="s">
        <v>329</v>
      </c>
      <c r="E11" s="291">
        <v>1500</v>
      </c>
      <c r="F11" s="293">
        <f t="shared" si="0"/>
        <v>45000</v>
      </c>
      <c r="G11" s="291">
        <v>9000</v>
      </c>
      <c r="H11" s="291">
        <v>9000</v>
      </c>
      <c r="I11" s="291">
        <v>9000</v>
      </c>
      <c r="J11" s="291">
        <v>9000</v>
      </c>
      <c r="K11" s="291">
        <v>9000</v>
      </c>
      <c r="L11" s="294">
        <f t="shared" si="1"/>
        <v>45000</v>
      </c>
    </row>
    <row r="12" spans="1:12" ht="112">
      <c r="A12" s="298" t="s">
        <v>305</v>
      </c>
      <c r="B12" s="290" t="s">
        <v>338</v>
      </c>
      <c r="C12" s="291">
        <v>30</v>
      </c>
      <c r="D12" s="291" t="s">
        <v>329</v>
      </c>
      <c r="E12" s="291">
        <v>3000</v>
      </c>
      <c r="F12" s="293">
        <f t="shared" si="0"/>
        <v>90000</v>
      </c>
      <c r="G12" s="291">
        <v>18000</v>
      </c>
      <c r="H12" s="291">
        <v>18000</v>
      </c>
      <c r="I12" s="291">
        <v>18000</v>
      </c>
      <c r="J12" s="291">
        <v>18000</v>
      </c>
      <c r="K12" s="291">
        <v>18000</v>
      </c>
      <c r="L12" s="294">
        <f t="shared" si="1"/>
        <v>90000</v>
      </c>
    </row>
    <row r="13" spans="1:12" ht="240">
      <c r="A13" s="298" t="s">
        <v>306</v>
      </c>
      <c r="B13" s="290" t="s">
        <v>339</v>
      </c>
      <c r="C13" s="291">
        <v>1</v>
      </c>
      <c r="D13" s="291" t="s">
        <v>340</v>
      </c>
      <c r="E13" s="291">
        <v>40000</v>
      </c>
      <c r="F13" s="293">
        <f>E13*C13</f>
        <v>40000</v>
      </c>
      <c r="G13" s="291">
        <v>8000</v>
      </c>
      <c r="H13" s="291">
        <v>8000</v>
      </c>
      <c r="I13" s="291">
        <v>8000</v>
      </c>
      <c r="J13" s="291">
        <v>8000</v>
      </c>
      <c r="K13" s="291">
        <v>8000</v>
      </c>
      <c r="L13" s="294">
        <f t="shared" si="1"/>
        <v>40000</v>
      </c>
    </row>
    <row r="14" spans="1:12" ht="85">
      <c r="A14" s="299" t="s">
        <v>341</v>
      </c>
      <c r="B14" s="286"/>
      <c r="C14" s="287"/>
      <c r="D14" s="287"/>
      <c r="E14" s="288"/>
      <c r="F14" s="288"/>
      <c r="G14" s="287"/>
      <c r="H14" s="287"/>
      <c r="I14" s="287"/>
      <c r="J14" s="287"/>
      <c r="K14" s="287"/>
      <c r="L14" s="289"/>
    </row>
    <row r="15" spans="1:12" ht="80">
      <c r="A15" s="298" t="s">
        <v>307</v>
      </c>
      <c r="B15" s="290" t="s">
        <v>342</v>
      </c>
      <c r="C15" s="291">
        <v>5</v>
      </c>
      <c r="D15" s="291"/>
      <c r="E15" s="291">
        <v>10000</v>
      </c>
      <c r="F15" s="293">
        <f t="shared" si="0"/>
        <v>50000</v>
      </c>
      <c r="G15" s="291">
        <v>50000</v>
      </c>
      <c r="H15" s="291"/>
      <c r="I15" s="291"/>
      <c r="J15" s="291"/>
      <c r="K15" s="291"/>
      <c r="L15" s="294">
        <f t="shared" si="1"/>
        <v>50000</v>
      </c>
    </row>
    <row r="16" spans="1:12" ht="136">
      <c r="A16" s="300" t="s">
        <v>308</v>
      </c>
      <c r="B16" s="290" t="s">
        <v>343</v>
      </c>
      <c r="C16" s="291">
        <v>1</v>
      </c>
      <c r="D16" s="301" t="s">
        <v>344</v>
      </c>
      <c r="E16" s="291">
        <v>1294500</v>
      </c>
      <c r="F16" s="293">
        <f t="shared" si="0"/>
        <v>1294500</v>
      </c>
      <c r="G16" s="291">
        <v>258900</v>
      </c>
      <c r="H16" s="291">
        <v>258900</v>
      </c>
      <c r="I16" s="291">
        <v>258900</v>
      </c>
      <c r="J16" s="291">
        <v>258900</v>
      </c>
      <c r="K16" s="291">
        <v>258900</v>
      </c>
      <c r="L16" s="294">
        <f t="shared" si="1"/>
        <v>1294500</v>
      </c>
    </row>
    <row r="17" spans="1:12" ht="96">
      <c r="A17" s="298" t="s">
        <v>345</v>
      </c>
      <c r="B17" s="290" t="s">
        <v>346</v>
      </c>
      <c r="C17" s="291">
        <v>5</v>
      </c>
      <c r="D17" s="291" t="s">
        <v>347</v>
      </c>
      <c r="E17" s="291">
        <v>23000</v>
      </c>
      <c r="F17" s="293">
        <f>E17*C17</f>
        <v>115000</v>
      </c>
      <c r="G17" s="291">
        <v>23000</v>
      </c>
      <c r="H17" s="291">
        <v>23000</v>
      </c>
      <c r="I17" s="291">
        <v>23000</v>
      </c>
      <c r="J17" s="291">
        <v>23000</v>
      </c>
      <c r="K17" s="291">
        <v>23000</v>
      </c>
      <c r="L17" s="294">
        <f>SUM(G17:K17)</f>
        <v>115000</v>
      </c>
    </row>
    <row r="18" spans="1:12" ht="85">
      <c r="A18" s="299" t="s">
        <v>348</v>
      </c>
      <c r="B18" s="286"/>
      <c r="C18" s="287"/>
      <c r="D18" s="287"/>
      <c r="E18" s="288"/>
      <c r="F18" s="288"/>
      <c r="G18" s="287"/>
      <c r="H18" s="287"/>
      <c r="I18" s="287"/>
      <c r="J18" s="287"/>
      <c r="K18" s="287"/>
      <c r="L18" s="289"/>
    </row>
    <row r="19" spans="1:12" ht="192">
      <c r="A19" s="298" t="s">
        <v>310</v>
      </c>
      <c r="B19" s="290" t="s">
        <v>349</v>
      </c>
      <c r="C19" s="291">
        <v>5</v>
      </c>
      <c r="D19" s="291" t="s">
        <v>347</v>
      </c>
      <c r="E19" s="292">
        <v>25000</v>
      </c>
      <c r="F19" s="293">
        <f t="shared" si="0"/>
        <v>125000</v>
      </c>
      <c r="G19" s="292">
        <v>25000</v>
      </c>
      <c r="H19" s="292">
        <v>25000</v>
      </c>
      <c r="I19" s="292">
        <v>25000</v>
      </c>
      <c r="J19" s="292">
        <v>25000</v>
      </c>
      <c r="K19" s="292">
        <v>25000</v>
      </c>
      <c r="L19" s="294">
        <f t="shared" si="1"/>
        <v>125000</v>
      </c>
    </row>
    <row r="20" spans="1:12" ht="192">
      <c r="A20" s="298" t="s">
        <v>311</v>
      </c>
      <c r="B20" s="290" t="s">
        <v>350</v>
      </c>
      <c r="C20" s="291">
        <v>5</v>
      </c>
      <c r="D20" s="291" t="s">
        <v>347</v>
      </c>
      <c r="E20" s="292">
        <v>5000</v>
      </c>
      <c r="F20" s="293">
        <f t="shared" si="0"/>
        <v>25000</v>
      </c>
      <c r="G20" s="292">
        <v>5000</v>
      </c>
      <c r="H20" s="292">
        <v>5000</v>
      </c>
      <c r="I20" s="292">
        <v>5000</v>
      </c>
      <c r="J20" s="292">
        <v>5000</v>
      </c>
      <c r="K20" s="292">
        <v>5000</v>
      </c>
      <c r="L20" s="294">
        <f t="shared" si="1"/>
        <v>25000</v>
      </c>
    </row>
    <row r="21" spans="1:12">
      <c r="A21" s="290"/>
      <c r="B21" s="290"/>
      <c r="C21" s="291"/>
      <c r="D21" s="291"/>
      <c r="E21" s="291"/>
      <c r="F21" s="293"/>
      <c r="G21" s="291"/>
      <c r="H21" s="291"/>
      <c r="I21" s="291"/>
      <c r="J21" s="291"/>
      <c r="K21" s="291"/>
      <c r="L21" s="294"/>
    </row>
    <row r="22" spans="1:12">
      <c r="A22" s="302" t="s">
        <v>351</v>
      </c>
      <c r="B22" s="302"/>
      <c r="C22" s="302"/>
      <c r="D22" s="302"/>
      <c r="E22" s="302"/>
      <c r="F22" s="303">
        <f t="shared" ref="F22:K22" si="2">SUM(F3:F20)</f>
        <v>3637000</v>
      </c>
      <c r="G22" s="304">
        <f t="shared" si="2"/>
        <v>783900</v>
      </c>
      <c r="H22" s="304">
        <f t="shared" si="2"/>
        <v>733900</v>
      </c>
      <c r="I22" s="304">
        <f t="shared" si="2"/>
        <v>717400</v>
      </c>
      <c r="J22" s="304">
        <f t="shared" si="2"/>
        <v>700900</v>
      </c>
      <c r="K22" s="304">
        <f t="shared" si="2"/>
        <v>700900</v>
      </c>
      <c r="L22" s="294">
        <f>SUM(G22:K22)</f>
        <v>3637000</v>
      </c>
    </row>
  </sheetData>
  <mergeCells count="1">
    <mergeCell ref="A22:E2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X113"/>
  <sheetViews>
    <sheetView showZeros="0" topLeftCell="F82" zoomScale="80" zoomScaleNormal="80" workbookViewId="0">
      <selection activeCell="W93" sqref="W93"/>
    </sheetView>
  </sheetViews>
  <sheetFormatPr baseColWidth="10" defaultColWidth="11.5" defaultRowHeight="15"/>
  <cols>
    <col min="1" max="1" width="4" style="1" customWidth="1"/>
    <col min="2" max="2" width="6.33203125" style="1" customWidth="1"/>
    <col min="3" max="3" width="17.6640625" style="1" customWidth="1"/>
    <col min="4" max="4" width="47.83203125" style="1" customWidth="1"/>
    <col min="5" max="5" width="10" style="1" customWidth="1"/>
    <col min="6" max="6" width="11" style="1" customWidth="1"/>
    <col min="7" max="7" width="21.6640625" style="1" customWidth="1"/>
    <col min="8" max="8" width="7.5" style="1" customWidth="1"/>
    <col min="9" max="12" width="7.33203125" style="1" customWidth="1"/>
    <col min="13" max="13" width="14.33203125" style="1" customWidth="1"/>
    <col min="14" max="14" width="13.5" style="1" customWidth="1"/>
    <col min="15" max="24" width="12.83203125" style="1" customWidth="1"/>
    <col min="25" max="16384" width="11.5" style="1"/>
  </cols>
  <sheetData>
    <row r="2" spans="2:24" ht="16" thickBot="1">
      <c r="H2" s="53" t="s">
        <v>96</v>
      </c>
      <c r="I2" s="50"/>
      <c r="J2" s="50"/>
      <c r="K2" s="50"/>
      <c r="L2" s="50"/>
      <c r="M2" s="54"/>
      <c r="N2" s="55"/>
      <c r="O2" s="58" t="s">
        <v>95</v>
      </c>
      <c r="P2" s="58" t="s">
        <v>95</v>
      </c>
      <c r="Q2" s="58" t="s">
        <v>95</v>
      </c>
      <c r="R2" s="58" t="s">
        <v>95</v>
      </c>
      <c r="S2" s="58" t="s">
        <v>95</v>
      </c>
      <c r="T2" s="58" t="s">
        <v>95</v>
      </c>
      <c r="U2" s="171" t="s">
        <v>94</v>
      </c>
      <c r="V2" s="171" t="s">
        <v>312</v>
      </c>
      <c r="W2" s="171" t="s">
        <v>313</v>
      </c>
      <c r="X2" s="171" t="s">
        <v>126</v>
      </c>
    </row>
    <row r="3" spans="2:24" s="71" customFormat="1" ht="48">
      <c r="C3" s="75" t="s">
        <v>99</v>
      </c>
      <c r="D3" s="74" t="s">
        <v>7</v>
      </c>
      <c r="E3" s="74" t="str">
        <f>E17</f>
        <v>Fin.
AFD, EU, GCF, GVNT</v>
      </c>
      <c r="F3" s="74" t="str">
        <f>F17</f>
        <v>Durée de vie (an)</v>
      </c>
      <c r="G3" s="74" t="s">
        <v>33</v>
      </c>
      <c r="H3" s="147">
        <v>2021</v>
      </c>
      <c r="I3" s="147">
        <v>2022</v>
      </c>
      <c r="J3" s="147">
        <v>2023</v>
      </c>
      <c r="K3" s="147">
        <v>2024</v>
      </c>
      <c r="L3" s="147">
        <v>2025</v>
      </c>
      <c r="M3" s="69" t="s">
        <v>44</v>
      </c>
      <c r="N3" s="62" t="s">
        <v>45</v>
      </c>
      <c r="O3" s="73" t="s">
        <v>9</v>
      </c>
      <c r="P3" s="73" t="s">
        <v>10</v>
      </c>
      <c r="Q3" s="73" t="s">
        <v>11</v>
      </c>
      <c r="R3" s="73" t="s">
        <v>12</v>
      </c>
      <c r="S3" s="73" t="s">
        <v>47</v>
      </c>
      <c r="T3" s="176" t="s">
        <v>8</v>
      </c>
      <c r="U3" s="185"/>
      <c r="V3" s="186"/>
      <c r="W3" s="186"/>
      <c r="X3" s="187"/>
    </row>
    <row r="4" spans="2:24" ht="16">
      <c r="B4" s="1" t="s">
        <v>220</v>
      </c>
      <c r="C4" s="273"/>
      <c r="D4" s="65" t="s">
        <v>217</v>
      </c>
      <c r="E4" s="76" t="s">
        <v>313</v>
      </c>
      <c r="F4" s="66"/>
      <c r="G4" s="65" t="s">
        <v>39</v>
      </c>
      <c r="H4" s="51">
        <v>1</v>
      </c>
      <c r="I4" s="51"/>
      <c r="J4" s="51"/>
      <c r="K4" s="51"/>
      <c r="L4" s="51"/>
      <c r="M4" s="56">
        <f t="shared" ref="M4:M7" si="0">SUM(H4:K4)</f>
        <v>1</v>
      </c>
      <c r="N4" s="63">
        <v>150000</v>
      </c>
      <c r="O4" s="48">
        <f>H4*$N4</f>
        <v>150000</v>
      </c>
      <c r="P4" s="48">
        <f>I4*$N4</f>
        <v>0</v>
      </c>
      <c r="Q4" s="48">
        <f>J4*$N4</f>
        <v>0</v>
      </c>
      <c r="R4" s="48">
        <f>K4*$N4</f>
        <v>0</v>
      </c>
      <c r="S4" s="48">
        <f>L4*$N4</f>
        <v>0</v>
      </c>
      <c r="T4" s="165">
        <f t="shared" ref="T4:T10" si="1">SUM(O4:S4)</f>
        <v>150000</v>
      </c>
      <c r="U4" s="180">
        <f>IF($E4=U$2,$T4,0)</f>
        <v>0</v>
      </c>
      <c r="V4" s="173">
        <f t="shared" ref="U4:X11" si="2">IF($E4=V$2,$T4,0)</f>
        <v>0</v>
      </c>
      <c r="W4" s="173">
        <f t="shared" si="2"/>
        <v>150000</v>
      </c>
      <c r="X4" s="181">
        <f t="shared" si="2"/>
        <v>0</v>
      </c>
    </row>
    <row r="5" spans="2:24" ht="16">
      <c r="B5" s="1" t="s">
        <v>214</v>
      </c>
      <c r="C5" s="273"/>
      <c r="D5" s="65" t="s">
        <v>21</v>
      </c>
      <c r="E5" s="76" t="s">
        <v>313</v>
      </c>
      <c r="F5" s="66"/>
      <c r="G5" s="65" t="s">
        <v>39</v>
      </c>
      <c r="H5" s="149"/>
      <c r="I5" s="150"/>
      <c r="J5" s="150"/>
      <c r="K5" s="150"/>
      <c r="L5" s="150"/>
      <c r="M5" s="150"/>
      <c r="N5" s="141">
        <v>0.05</v>
      </c>
      <c r="O5" s="48">
        <f>ROUND($N5*O53,-3)</f>
        <v>40000</v>
      </c>
      <c r="P5" s="48">
        <f t="shared" ref="P5:S5" si="3">ROUND($N5*P53,-3)</f>
        <v>99000</v>
      </c>
      <c r="Q5" s="48">
        <f t="shared" si="3"/>
        <v>6000</v>
      </c>
      <c r="R5" s="48">
        <f t="shared" si="3"/>
        <v>0</v>
      </c>
      <c r="S5" s="48">
        <f t="shared" si="3"/>
        <v>0</v>
      </c>
      <c r="T5" s="165">
        <f t="shared" si="1"/>
        <v>145000</v>
      </c>
      <c r="U5" s="180">
        <f t="shared" si="2"/>
        <v>0</v>
      </c>
      <c r="V5" s="173">
        <f t="shared" si="2"/>
        <v>0</v>
      </c>
      <c r="W5" s="173">
        <f t="shared" si="2"/>
        <v>145000</v>
      </c>
      <c r="X5" s="181">
        <f t="shared" si="2"/>
        <v>0</v>
      </c>
    </row>
    <row r="6" spans="2:24" ht="16">
      <c r="B6" s="1" t="s">
        <v>214</v>
      </c>
      <c r="C6" s="273"/>
      <c r="D6" s="65" t="s">
        <v>22</v>
      </c>
      <c r="E6" s="76" t="s">
        <v>313</v>
      </c>
      <c r="F6" s="66"/>
      <c r="G6" s="65" t="s">
        <v>39</v>
      </c>
      <c r="H6" s="149"/>
      <c r="I6" s="150"/>
      <c r="J6" s="150"/>
      <c r="K6" s="150"/>
      <c r="L6" s="150"/>
      <c r="M6" s="150"/>
      <c r="N6" s="141">
        <v>0.05</v>
      </c>
      <c r="O6" s="48">
        <f>ROUND($N6*O36,-3)</f>
        <v>40000</v>
      </c>
      <c r="P6" s="48">
        <f t="shared" ref="P6:S6" si="4">ROUND($N6*P36,-3)</f>
        <v>223000</v>
      </c>
      <c r="Q6" s="48">
        <f t="shared" si="4"/>
        <v>37000</v>
      </c>
      <c r="R6" s="48">
        <f t="shared" si="4"/>
        <v>0</v>
      </c>
      <c r="S6" s="48">
        <f t="shared" si="4"/>
        <v>0</v>
      </c>
      <c r="T6" s="165">
        <f t="shared" si="1"/>
        <v>300000</v>
      </c>
      <c r="U6" s="180">
        <f t="shared" si="2"/>
        <v>0</v>
      </c>
      <c r="V6" s="173">
        <f t="shared" si="2"/>
        <v>0</v>
      </c>
      <c r="W6" s="173">
        <f t="shared" si="2"/>
        <v>300000</v>
      </c>
      <c r="X6" s="181">
        <f t="shared" si="2"/>
        <v>0</v>
      </c>
    </row>
    <row r="7" spans="2:24" ht="32">
      <c r="B7" s="1" t="s">
        <v>221</v>
      </c>
      <c r="C7" s="273"/>
      <c r="D7" s="252" t="s">
        <v>286</v>
      </c>
      <c r="E7" s="76" t="s">
        <v>313</v>
      </c>
      <c r="F7" s="66"/>
      <c r="G7" s="65" t="s">
        <v>39</v>
      </c>
      <c r="H7" s="51">
        <v>1</v>
      </c>
      <c r="I7" s="51"/>
      <c r="J7" s="51"/>
      <c r="K7" s="51"/>
      <c r="L7" s="51"/>
      <c r="M7" s="56">
        <f t="shared" si="0"/>
        <v>1</v>
      </c>
      <c r="N7" s="63">
        <v>100000</v>
      </c>
      <c r="O7" s="48">
        <f t="shared" ref="O7:S10" si="5">H7*$N7</f>
        <v>100000</v>
      </c>
      <c r="P7" s="48">
        <f t="shared" si="5"/>
        <v>0</v>
      </c>
      <c r="Q7" s="48">
        <f t="shared" si="5"/>
        <v>0</v>
      </c>
      <c r="R7" s="48">
        <f t="shared" si="5"/>
        <v>0</v>
      </c>
      <c r="S7" s="48">
        <f t="shared" si="5"/>
        <v>0</v>
      </c>
      <c r="T7" s="165">
        <f t="shared" si="1"/>
        <v>100000</v>
      </c>
      <c r="U7" s="180">
        <f t="shared" si="2"/>
        <v>0</v>
      </c>
      <c r="V7" s="173">
        <f t="shared" si="2"/>
        <v>0</v>
      </c>
      <c r="W7" s="173">
        <f t="shared" si="2"/>
        <v>100000</v>
      </c>
      <c r="X7" s="181">
        <f t="shared" si="2"/>
        <v>0</v>
      </c>
    </row>
    <row r="8" spans="2:24" ht="16">
      <c r="B8" s="1" t="s">
        <v>222</v>
      </c>
      <c r="C8" s="273"/>
      <c r="D8" s="253" t="s">
        <v>218</v>
      </c>
      <c r="E8" s="76" t="s">
        <v>313</v>
      </c>
      <c r="F8" s="77"/>
      <c r="G8" s="65" t="s">
        <v>39</v>
      </c>
      <c r="H8" s="51"/>
      <c r="I8" s="51">
        <v>1</v>
      </c>
      <c r="J8" s="51"/>
      <c r="K8" s="51"/>
      <c r="L8" s="51"/>
      <c r="M8" s="56">
        <f>SUM(H8:L8)</f>
        <v>1</v>
      </c>
      <c r="N8" s="80">
        <v>50000</v>
      </c>
      <c r="O8" s="81">
        <f t="shared" si="5"/>
        <v>0</v>
      </c>
      <c r="P8" s="81">
        <f t="shared" si="5"/>
        <v>50000</v>
      </c>
      <c r="Q8" s="81">
        <f t="shared" si="5"/>
        <v>0</v>
      </c>
      <c r="R8" s="81">
        <f t="shared" si="5"/>
        <v>0</v>
      </c>
      <c r="S8" s="81">
        <f t="shared" si="5"/>
        <v>0</v>
      </c>
      <c r="T8" s="168">
        <f t="shared" si="1"/>
        <v>50000</v>
      </c>
      <c r="U8" s="180">
        <f t="shared" si="2"/>
        <v>0</v>
      </c>
      <c r="V8" s="173">
        <f t="shared" si="2"/>
        <v>0</v>
      </c>
      <c r="W8" s="173">
        <f t="shared" si="2"/>
        <v>50000</v>
      </c>
      <c r="X8" s="181">
        <f t="shared" si="2"/>
        <v>0</v>
      </c>
    </row>
    <row r="9" spans="2:24" ht="16">
      <c r="B9" s="1" t="s">
        <v>223</v>
      </c>
      <c r="C9" s="273"/>
      <c r="D9" s="252" t="s">
        <v>219</v>
      </c>
      <c r="E9" s="76" t="s">
        <v>313</v>
      </c>
      <c r="F9" s="66"/>
      <c r="G9" s="65" t="s">
        <v>39</v>
      </c>
      <c r="H9" s="51"/>
      <c r="I9" s="51"/>
      <c r="J9" s="51">
        <v>1</v>
      </c>
      <c r="K9" s="51"/>
      <c r="L9" s="51"/>
      <c r="M9" s="56">
        <f t="shared" ref="M9" si="6">SUM(H9:K9)</f>
        <v>1</v>
      </c>
      <c r="N9" s="63">
        <v>50000</v>
      </c>
      <c r="O9" s="48">
        <f t="shared" si="5"/>
        <v>0</v>
      </c>
      <c r="P9" s="48">
        <f t="shared" si="5"/>
        <v>0</v>
      </c>
      <c r="Q9" s="48">
        <f t="shared" si="5"/>
        <v>50000</v>
      </c>
      <c r="R9" s="48">
        <f t="shared" si="5"/>
        <v>0</v>
      </c>
      <c r="S9" s="48">
        <f t="shared" si="5"/>
        <v>0</v>
      </c>
      <c r="T9" s="165">
        <f t="shared" si="1"/>
        <v>50000</v>
      </c>
      <c r="U9" s="180">
        <f t="shared" si="2"/>
        <v>0</v>
      </c>
      <c r="V9" s="173">
        <f t="shared" si="2"/>
        <v>0</v>
      </c>
      <c r="W9" s="173">
        <f t="shared" si="2"/>
        <v>50000</v>
      </c>
      <c r="X9" s="181">
        <f t="shared" si="2"/>
        <v>0</v>
      </c>
    </row>
    <row r="10" spans="2:24" ht="16">
      <c r="B10" s="1" t="s">
        <v>224</v>
      </c>
      <c r="C10" s="273"/>
      <c r="D10" s="253" t="s">
        <v>225</v>
      </c>
      <c r="E10" s="76" t="s">
        <v>313</v>
      </c>
      <c r="F10" s="77"/>
      <c r="G10" s="65" t="s">
        <v>39</v>
      </c>
      <c r="H10" s="51"/>
      <c r="I10" s="51">
        <v>1</v>
      </c>
      <c r="J10" s="51"/>
      <c r="K10" s="51"/>
      <c r="L10" s="51"/>
      <c r="M10" s="56">
        <f>SUM(H10:L10)</f>
        <v>1</v>
      </c>
      <c r="N10" s="80">
        <v>100000</v>
      </c>
      <c r="O10" s="81">
        <f t="shared" si="5"/>
        <v>0</v>
      </c>
      <c r="P10" s="81">
        <f t="shared" si="5"/>
        <v>100000</v>
      </c>
      <c r="Q10" s="81">
        <f t="shared" si="5"/>
        <v>0</v>
      </c>
      <c r="R10" s="81">
        <f t="shared" si="5"/>
        <v>0</v>
      </c>
      <c r="S10" s="81">
        <f t="shared" si="5"/>
        <v>0</v>
      </c>
      <c r="T10" s="168">
        <f t="shared" si="1"/>
        <v>100000</v>
      </c>
      <c r="U10" s="180">
        <f t="shared" si="2"/>
        <v>0</v>
      </c>
      <c r="V10" s="173">
        <f t="shared" si="2"/>
        <v>0</v>
      </c>
      <c r="W10" s="173">
        <f t="shared" si="2"/>
        <v>100000</v>
      </c>
      <c r="X10" s="181">
        <f t="shared" si="2"/>
        <v>0</v>
      </c>
    </row>
    <row r="11" spans="2:24" ht="16">
      <c r="B11" s="1" t="s">
        <v>224</v>
      </c>
      <c r="C11" s="273"/>
      <c r="D11" s="253" t="s">
        <v>259</v>
      </c>
      <c r="E11" s="76" t="s">
        <v>313</v>
      </c>
      <c r="F11" s="77"/>
      <c r="G11" s="65" t="s">
        <v>39</v>
      </c>
      <c r="H11" s="51"/>
      <c r="I11" s="51">
        <v>1</v>
      </c>
      <c r="J11" s="51"/>
      <c r="K11" s="51"/>
      <c r="L11" s="51"/>
      <c r="M11" s="56">
        <f>SUM(H11:L11)</f>
        <v>1</v>
      </c>
      <c r="N11" s="80">
        <v>50000</v>
      </c>
      <c r="O11" s="81">
        <f t="shared" ref="O11" si="7">H11*$N11</f>
        <v>0</v>
      </c>
      <c r="P11" s="81">
        <f t="shared" ref="P11" si="8">I11*$N11</f>
        <v>50000</v>
      </c>
      <c r="Q11" s="81">
        <f t="shared" ref="Q11" si="9">J11*$N11</f>
        <v>0</v>
      </c>
      <c r="R11" s="81">
        <f t="shared" ref="R11" si="10">K11*$N11</f>
        <v>0</v>
      </c>
      <c r="S11" s="81">
        <f t="shared" ref="S11" si="11">L11*$N11</f>
        <v>0</v>
      </c>
      <c r="T11" s="168">
        <f t="shared" ref="T11" si="12">SUM(O11:S11)</f>
        <v>50000</v>
      </c>
      <c r="U11" s="180">
        <f t="shared" si="2"/>
        <v>0</v>
      </c>
      <c r="V11" s="173">
        <f t="shared" si="2"/>
        <v>0</v>
      </c>
      <c r="W11" s="173">
        <f t="shared" si="2"/>
        <v>50000</v>
      </c>
      <c r="X11" s="181">
        <f t="shared" si="2"/>
        <v>0</v>
      </c>
    </row>
    <row r="12" spans="2:24" ht="32">
      <c r="B12" s="1" t="s">
        <v>213</v>
      </c>
      <c r="C12" s="273"/>
      <c r="D12" s="253" t="s">
        <v>226</v>
      </c>
      <c r="E12" s="76" t="s">
        <v>313</v>
      </c>
      <c r="F12" s="77"/>
      <c r="G12" s="76" t="s">
        <v>1</v>
      </c>
      <c r="H12" s="51">
        <v>3</v>
      </c>
      <c r="I12" s="51">
        <v>3</v>
      </c>
      <c r="J12" s="51">
        <v>3</v>
      </c>
      <c r="K12" s="51">
        <v>3</v>
      </c>
      <c r="L12" s="51">
        <v>3</v>
      </c>
      <c r="M12" s="56">
        <f>SUM(H12:L12)</f>
        <v>15</v>
      </c>
      <c r="N12" s="80">
        <v>24000</v>
      </c>
      <c r="O12" s="81">
        <f t="shared" ref="O12:S13" si="13">H12*$N12</f>
        <v>72000</v>
      </c>
      <c r="P12" s="81">
        <f t="shared" si="13"/>
        <v>72000</v>
      </c>
      <c r="Q12" s="81">
        <f t="shared" si="13"/>
        <v>72000</v>
      </c>
      <c r="R12" s="81">
        <f t="shared" si="13"/>
        <v>72000</v>
      </c>
      <c r="S12" s="81">
        <f t="shared" si="13"/>
        <v>72000</v>
      </c>
      <c r="T12" s="168">
        <f t="shared" ref="T12:T13" si="14">SUM(O12:S12)</f>
        <v>360000</v>
      </c>
      <c r="U12" s="180">
        <f t="shared" ref="U12:X13" si="15">IF($E12=U$2,$T12,0)</f>
        <v>0</v>
      </c>
      <c r="V12" s="173">
        <f t="shared" si="15"/>
        <v>0</v>
      </c>
      <c r="W12" s="173">
        <f t="shared" si="15"/>
        <v>360000</v>
      </c>
      <c r="X12" s="181">
        <f t="shared" si="15"/>
        <v>0</v>
      </c>
    </row>
    <row r="13" spans="2:24" ht="49.25" customHeight="1" thickBot="1">
      <c r="B13" s="1" t="s">
        <v>212</v>
      </c>
      <c r="C13" s="274"/>
      <c r="D13" s="251" t="s">
        <v>68</v>
      </c>
      <c r="E13" s="76" t="s">
        <v>313</v>
      </c>
      <c r="F13" s="68"/>
      <c r="G13" s="67" t="s">
        <v>1</v>
      </c>
      <c r="H13" s="52">
        <v>3</v>
      </c>
      <c r="I13" s="52">
        <v>3</v>
      </c>
      <c r="J13" s="52">
        <v>3</v>
      </c>
      <c r="K13" s="52">
        <v>3</v>
      </c>
      <c r="L13" s="52">
        <v>3</v>
      </c>
      <c r="M13" s="57">
        <f>SUM(H13:L13)</f>
        <v>15</v>
      </c>
      <c r="N13" s="64">
        <v>60000</v>
      </c>
      <c r="O13" s="49">
        <f t="shared" si="13"/>
        <v>180000</v>
      </c>
      <c r="P13" s="49">
        <f t="shared" si="13"/>
        <v>180000</v>
      </c>
      <c r="Q13" s="49">
        <f t="shared" si="13"/>
        <v>180000</v>
      </c>
      <c r="R13" s="49">
        <f t="shared" si="13"/>
        <v>180000</v>
      </c>
      <c r="S13" s="49">
        <f t="shared" si="13"/>
        <v>180000</v>
      </c>
      <c r="T13" s="166">
        <f t="shared" si="14"/>
        <v>900000</v>
      </c>
      <c r="U13" s="182">
        <f t="shared" si="15"/>
        <v>0</v>
      </c>
      <c r="V13" s="183">
        <f t="shared" si="15"/>
        <v>0</v>
      </c>
      <c r="W13" s="183">
        <f t="shared" si="15"/>
        <v>900000</v>
      </c>
      <c r="X13" s="184">
        <f t="shared" si="15"/>
        <v>0</v>
      </c>
    </row>
    <row r="14" spans="2:24" ht="16" thickBot="1">
      <c r="C14" s="16"/>
      <c r="D14" s="9"/>
      <c r="E14" s="9"/>
      <c r="F14" s="9"/>
      <c r="G14" s="9"/>
      <c r="H14" s="9"/>
      <c r="I14" s="9"/>
      <c r="J14" s="5"/>
      <c r="K14" s="5"/>
      <c r="L14" s="5"/>
      <c r="M14" s="5"/>
      <c r="N14" s="4"/>
      <c r="O14" s="39"/>
      <c r="P14" s="39"/>
      <c r="Q14" s="40"/>
      <c r="R14" s="40"/>
      <c r="S14" s="40"/>
      <c r="T14" s="41"/>
      <c r="U14" s="41"/>
      <c r="V14" s="41"/>
      <c r="W14" s="41"/>
      <c r="X14" s="41"/>
    </row>
    <row r="15" spans="2:24" s="45" customFormat="1" ht="16" thickBot="1">
      <c r="C15" s="47"/>
      <c r="D15" s="46"/>
      <c r="E15" s="46"/>
      <c r="F15" s="46"/>
      <c r="G15" s="46"/>
      <c r="H15" s="46"/>
      <c r="I15" s="46"/>
      <c r="J15" s="46"/>
      <c r="K15" s="46"/>
      <c r="L15" s="87"/>
      <c r="M15" s="88"/>
      <c r="N15" s="89" t="s">
        <v>107</v>
      </c>
      <c r="O15" s="83">
        <f>SUM(O4:O13)</f>
        <v>582000</v>
      </c>
      <c r="P15" s="83">
        <f>SUM(P4:P13)</f>
        <v>774000</v>
      </c>
      <c r="Q15" s="83">
        <f>SUM(Q4:Q13)</f>
        <v>345000</v>
      </c>
      <c r="R15" s="83">
        <f>SUM(R4:R13)</f>
        <v>252000</v>
      </c>
      <c r="S15" s="83">
        <f>SUM(S4:S13)</f>
        <v>252000</v>
      </c>
      <c r="T15" s="61">
        <f>SUM(O15:S15)</f>
        <v>2205000</v>
      </c>
      <c r="U15" s="174">
        <f>SUM(U4:U13)</f>
        <v>0</v>
      </c>
      <c r="V15" s="174">
        <f>SUM(V4:V13)</f>
        <v>0</v>
      </c>
      <c r="W15" s="174">
        <f>SUM(W4:W13)</f>
        <v>2205000</v>
      </c>
      <c r="X15" s="174">
        <f>SUM(X4:X13)</f>
        <v>0</v>
      </c>
    </row>
    <row r="16" spans="2:24" s="2" customFormat="1" ht="16" thickBot="1">
      <c r="C16" s="16"/>
      <c r="D16" s="9"/>
      <c r="E16" s="9"/>
      <c r="F16" s="9"/>
      <c r="G16" s="9"/>
      <c r="H16" s="9"/>
      <c r="I16" s="9"/>
      <c r="J16" s="5"/>
      <c r="K16" s="5"/>
      <c r="L16" s="5"/>
      <c r="M16" s="5"/>
      <c r="N16" s="4"/>
      <c r="O16" s="41"/>
      <c r="P16" s="41"/>
      <c r="Q16" s="41"/>
      <c r="R16" s="41"/>
      <c r="S16" s="41"/>
      <c r="T16" s="42"/>
      <c r="U16" s="42"/>
      <c r="V16" s="42"/>
      <c r="W16" s="42"/>
      <c r="X16" s="42"/>
    </row>
    <row r="17" spans="2:24" s="71" customFormat="1" ht="48">
      <c r="C17" s="75" t="s">
        <v>100</v>
      </c>
      <c r="D17" s="74" t="s">
        <v>7</v>
      </c>
      <c r="E17" s="74" t="s">
        <v>97</v>
      </c>
      <c r="F17" s="74" t="s">
        <v>98</v>
      </c>
      <c r="G17" s="74" t="s">
        <v>33</v>
      </c>
      <c r="H17" s="72">
        <v>2021</v>
      </c>
      <c r="I17" s="72">
        <v>2022</v>
      </c>
      <c r="J17" s="72">
        <v>2023</v>
      </c>
      <c r="K17" s="72">
        <v>2024</v>
      </c>
      <c r="L17" s="72">
        <v>2025</v>
      </c>
      <c r="M17" s="69" t="s">
        <v>44</v>
      </c>
      <c r="N17" s="62" t="s">
        <v>45</v>
      </c>
      <c r="O17" s="73" t="s">
        <v>73</v>
      </c>
      <c r="P17" s="73" t="s">
        <v>47</v>
      </c>
      <c r="Q17" s="73" t="s">
        <v>74</v>
      </c>
      <c r="R17" s="73" t="s">
        <v>75</v>
      </c>
      <c r="S17" s="143" t="s">
        <v>76</v>
      </c>
      <c r="T17" s="176" t="s">
        <v>4</v>
      </c>
      <c r="U17" s="185"/>
      <c r="V17" s="186"/>
      <c r="W17" s="186"/>
      <c r="X17" s="187"/>
    </row>
    <row r="18" spans="2:24" s="45" customFormat="1" ht="16">
      <c r="B18" s="232" t="s">
        <v>205</v>
      </c>
      <c r="C18" s="275" t="s">
        <v>17</v>
      </c>
      <c r="D18" s="65" t="s">
        <v>77</v>
      </c>
      <c r="E18" s="65"/>
      <c r="F18" s="66"/>
      <c r="G18" s="65" t="s">
        <v>34</v>
      </c>
      <c r="H18" s="51"/>
      <c r="I18" s="51"/>
      <c r="J18" s="51"/>
      <c r="K18" s="51"/>
      <c r="L18" s="51"/>
      <c r="M18" s="56">
        <f>SUM(H18:K18)</f>
        <v>0</v>
      </c>
      <c r="N18" s="63">
        <v>60000</v>
      </c>
      <c r="O18" s="48">
        <f>H18*$N18</f>
        <v>0</v>
      </c>
      <c r="P18" s="48">
        <f>I18*$N18</f>
        <v>0</v>
      </c>
      <c r="Q18" s="48">
        <f>J18*$N18</f>
        <v>0</v>
      </c>
      <c r="R18" s="48">
        <f>K18*$N18</f>
        <v>0</v>
      </c>
      <c r="S18" s="144">
        <f>L18*$N18</f>
        <v>0</v>
      </c>
      <c r="T18" s="165">
        <f>SUM(O18:S18)</f>
        <v>0</v>
      </c>
      <c r="U18" s="180">
        <f t="shared" ref="U18:X34" si="16">IF($E18=U$2,$T18,0)</f>
        <v>0</v>
      </c>
      <c r="V18" s="173">
        <f t="shared" si="16"/>
        <v>0</v>
      </c>
      <c r="W18" s="173">
        <f t="shared" si="16"/>
        <v>0</v>
      </c>
      <c r="X18" s="181">
        <f t="shared" si="16"/>
        <v>0</v>
      </c>
    </row>
    <row r="19" spans="2:24" s="45" customFormat="1" ht="16">
      <c r="B19" s="232" t="s">
        <v>205</v>
      </c>
      <c r="C19" s="275"/>
      <c r="D19" s="252" t="s">
        <v>71</v>
      </c>
      <c r="E19" s="255" t="s">
        <v>94</v>
      </c>
      <c r="F19" s="66">
        <v>30</v>
      </c>
      <c r="G19" s="65" t="s">
        <v>6</v>
      </c>
      <c r="H19" s="51">
        <v>0.5</v>
      </c>
      <c r="I19" s="51">
        <v>0.5</v>
      </c>
      <c r="J19" s="51"/>
      <c r="K19" s="51"/>
      <c r="L19" s="51"/>
      <c r="M19" s="56">
        <f>SUM(H19:K19)</f>
        <v>1</v>
      </c>
      <c r="N19" s="63">
        <v>800000</v>
      </c>
      <c r="O19" s="48">
        <f t="shared" ref="O19:S34" si="17">H19*$N19</f>
        <v>400000</v>
      </c>
      <c r="P19" s="48">
        <f t="shared" ref="P19:P34" si="18">I19*$N19</f>
        <v>400000</v>
      </c>
      <c r="Q19" s="48">
        <f t="shared" ref="Q19:Q34" si="19">J19*$N19</f>
        <v>0</v>
      </c>
      <c r="R19" s="48">
        <f t="shared" ref="R19:R34" si="20">K19*$N19</f>
        <v>0</v>
      </c>
      <c r="S19" s="144">
        <f t="shared" ref="S19:S34" si="21">L19*$N19</f>
        <v>0</v>
      </c>
      <c r="T19" s="165">
        <f t="shared" ref="T19:T34" si="22">SUM(O19:S19)</f>
        <v>800000</v>
      </c>
      <c r="U19" s="180">
        <f t="shared" si="16"/>
        <v>800000</v>
      </c>
      <c r="V19" s="173">
        <f t="shared" si="16"/>
        <v>0</v>
      </c>
      <c r="W19" s="173">
        <f t="shared" si="16"/>
        <v>0</v>
      </c>
      <c r="X19" s="181">
        <f t="shared" si="16"/>
        <v>0</v>
      </c>
    </row>
    <row r="20" spans="2:24" s="45" customFormat="1" ht="16">
      <c r="B20" s="232" t="s">
        <v>205</v>
      </c>
      <c r="C20" s="275"/>
      <c r="D20" s="65" t="s">
        <v>72</v>
      </c>
      <c r="E20" s="65"/>
      <c r="F20" s="66"/>
      <c r="G20" s="65" t="s">
        <v>6</v>
      </c>
      <c r="H20" s="51"/>
      <c r="I20" s="51"/>
      <c r="J20" s="51"/>
      <c r="K20" s="51">
        <f t="shared" ref="K20:L20" si="23">K18</f>
        <v>0</v>
      </c>
      <c r="L20" s="51">
        <f t="shared" si="23"/>
        <v>0</v>
      </c>
      <c r="M20" s="56">
        <f t="shared" ref="M20:M34" si="24">SUM(H20:K20)</f>
        <v>0</v>
      </c>
      <c r="N20" s="63">
        <v>50000</v>
      </c>
      <c r="O20" s="48">
        <f t="shared" si="17"/>
        <v>0</v>
      </c>
      <c r="P20" s="48">
        <f t="shared" si="18"/>
        <v>0</v>
      </c>
      <c r="Q20" s="48">
        <f t="shared" si="19"/>
        <v>0</v>
      </c>
      <c r="R20" s="48">
        <f t="shared" si="20"/>
        <v>0</v>
      </c>
      <c r="S20" s="144">
        <f t="shared" si="21"/>
        <v>0</v>
      </c>
      <c r="T20" s="165">
        <f t="shared" si="22"/>
        <v>0</v>
      </c>
      <c r="U20" s="180">
        <f t="shared" si="16"/>
        <v>0</v>
      </c>
      <c r="V20" s="173">
        <f t="shared" si="16"/>
        <v>0</v>
      </c>
      <c r="W20" s="173">
        <f t="shared" si="16"/>
        <v>0</v>
      </c>
      <c r="X20" s="181">
        <f t="shared" si="16"/>
        <v>0</v>
      </c>
    </row>
    <row r="21" spans="2:24" s="45" customFormat="1" ht="16">
      <c r="B21" s="232" t="s">
        <v>205</v>
      </c>
      <c r="C21" s="275"/>
      <c r="D21" s="65" t="s">
        <v>78</v>
      </c>
      <c r="E21" s="76" t="s">
        <v>313</v>
      </c>
      <c r="F21" s="66">
        <v>10</v>
      </c>
      <c r="G21" s="65" t="s">
        <v>34</v>
      </c>
      <c r="H21" s="51">
        <v>15</v>
      </c>
      <c r="I21" s="51">
        <v>15</v>
      </c>
      <c r="J21" s="51">
        <v>15</v>
      </c>
      <c r="K21" s="51"/>
      <c r="L21" s="51"/>
      <c r="M21" s="56">
        <f t="shared" si="24"/>
        <v>45</v>
      </c>
      <c r="N21" s="63">
        <v>15000</v>
      </c>
      <c r="O21" s="48">
        <f t="shared" si="17"/>
        <v>225000</v>
      </c>
      <c r="P21" s="48">
        <f t="shared" si="18"/>
        <v>225000</v>
      </c>
      <c r="Q21" s="48">
        <f t="shared" si="19"/>
        <v>225000</v>
      </c>
      <c r="R21" s="48">
        <f t="shared" si="20"/>
        <v>0</v>
      </c>
      <c r="S21" s="144">
        <f t="shared" si="21"/>
        <v>0</v>
      </c>
      <c r="T21" s="165">
        <f t="shared" si="22"/>
        <v>675000</v>
      </c>
      <c r="U21" s="180">
        <f t="shared" si="16"/>
        <v>0</v>
      </c>
      <c r="V21" s="173">
        <f t="shared" si="16"/>
        <v>0</v>
      </c>
      <c r="W21" s="173">
        <f t="shared" si="16"/>
        <v>675000</v>
      </c>
      <c r="X21" s="181">
        <f t="shared" si="16"/>
        <v>0</v>
      </c>
    </row>
    <row r="22" spans="2:24" s="45" customFormat="1" ht="16">
      <c r="B22" s="232" t="s">
        <v>205</v>
      </c>
      <c r="C22" s="275"/>
      <c r="D22" s="65" t="s">
        <v>163</v>
      </c>
      <c r="E22" s="76" t="s">
        <v>313</v>
      </c>
      <c r="F22" s="66">
        <v>10</v>
      </c>
      <c r="G22" s="65" t="s">
        <v>34</v>
      </c>
      <c r="H22" s="51">
        <v>25</v>
      </c>
      <c r="I22" s="51">
        <v>25</v>
      </c>
      <c r="J22" s="51">
        <v>25</v>
      </c>
      <c r="K22" s="51"/>
      <c r="L22" s="51"/>
      <c r="M22" s="56">
        <f t="shared" ref="M22:M26" si="25">SUM(H22:L22)</f>
        <v>75</v>
      </c>
      <c r="N22" s="63">
        <v>500</v>
      </c>
      <c r="O22" s="48">
        <f t="shared" si="17"/>
        <v>12500</v>
      </c>
      <c r="P22" s="48">
        <f t="shared" si="17"/>
        <v>12500</v>
      </c>
      <c r="Q22" s="48">
        <f t="shared" si="17"/>
        <v>12500</v>
      </c>
      <c r="R22" s="48">
        <f t="shared" si="17"/>
        <v>0</v>
      </c>
      <c r="S22" s="144">
        <f t="shared" si="17"/>
        <v>0</v>
      </c>
      <c r="T22" s="165">
        <f t="shared" si="22"/>
        <v>37500</v>
      </c>
      <c r="U22" s="180">
        <f t="shared" si="16"/>
        <v>0</v>
      </c>
      <c r="V22" s="173">
        <f t="shared" si="16"/>
        <v>0</v>
      </c>
      <c r="W22" s="173">
        <f t="shared" si="16"/>
        <v>37500</v>
      </c>
      <c r="X22" s="181">
        <f t="shared" si="16"/>
        <v>0</v>
      </c>
    </row>
    <row r="23" spans="2:24" s="45" customFormat="1" ht="16">
      <c r="B23" s="232" t="s">
        <v>205</v>
      </c>
      <c r="C23" s="275"/>
      <c r="D23" s="65" t="s">
        <v>164</v>
      </c>
      <c r="E23" s="76" t="s">
        <v>313</v>
      </c>
      <c r="F23" s="66">
        <v>10</v>
      </c>
      <c r="G23" s="65" t="s">
        <v>34</v>
      </c>
      <c r="H23" s="51">
        <v>5</v>
      </c>
      <c r="I23" s="51">
        <v>5</v>
      </c>
      <c r="J23" s="51">
        <v>5</v>
      </c>
      <c r="K23" s="51"/>
      <c r="L23" s="51"/>
      <c r="M23" s="56">
        <f t="shared" si="25"/>
        <v>15</v>
      </c>
      <c r="N23" s="63">
        <v>5000</v>
      </c>
      <c r="O23" s="48">
        <f t="shared" si="17"/>
        <v>25000</v>
      </c>
      <c r="P23" s="48">
        <f t="shared" si="17"/>
        <v>25000</v>
      </c>
      <c r="Q23" s="48">
        <f t="shared" si="17"/>
        <v>25000</v>
      </c>
      <c r="R23" s="48">
        <f t="shared" si="17"/>
        <v>0</v>
      </c>
      <c r="S23" s="144">
        <f t="shared" si="17"/>
        <v>0</v>
      </c>
      <c r="T23" s="165">
        <f t="shared" si="22"/>
        <v>75000</v>
      </c>
      <c r="U23" s="180">
        <f t="shared" si="16"/>
        <v>0</v>
      </c>
      <c r="V23" s="173">
        <f t="shared" si="16"/>
        <v>0</v>
      </c>
      <c r="W23" s="173">
        <f t="shared" si="16"/>
        <v>75000</v>
      </c>
      <c r="X23" s="181">
        <f t="shared" si="16"/>
        <v>0</v>
      </c>
    </row>
    <row r="24" spans="2:24" s="45" customFormat="1" ht="16">
      <c r="B24" s="232" t="s">
        <v>205</v>
      </c>
      <c r="C24" s="275"/>
      <c r="D24" s="65" t="s">
        <v>165</v>
      </c>
      <c r="E24" s="76" t="s">
        <v>313</v>
      </c>
      <c r="F24" s="66">
        <v>10</v>
      </c>
      <c r="G24" s="65" t="s">
        <v>34</v>
      </c>
      <c r="H24" s="51"/>
      <c r="I24" s="51">
        <v>1</v>
      </c>
      <c r="J24" s="51"/>
      <c r="K24" s="51"/>
      <c r="L24" s="51"/>
      <c r="M24" s="56">
        <f t="shared" si="25"/>
        <v>1</v>
      </c>
      <c r="N24" s="63">
        <v>50000</v>
      </c>
      <c r="O24" s="48">
        <f t="shared" si="17"/>
        <v>0</v>
      </c>
      <c r="P24" s="48">
        <f t="shared" si="17"/>
        <v>50000</v>
      </c>
      <c r="Q24" s="48">
        <f t="shared" si="17"/>
        <v>0</v>
      </c>
      <c r="R24" s="48">
        <f t="shared" si="17"/>
        <v>0</v>
      </c>
      <c r="S24" s="144">
        <f t="shared" si="17"/>
        <v>0</v>
      </c>
      <c r="T24" s="165">
        <f t="shared" si="22"/>
        <v>50000</v>
      </c>
      <c r="U24" s="180">
        <f t="shared" si="16"/>
        <v>0</v>
      </c>
      <c r="V24" s="173">
        <f t="shared" si="16"/>
        <v>0</v>
      </c>
      <c r="W24" s="173">
        <f t="shared" si="16"/>
        <v>50000</v>
      </c>
      <c r="X24" s="181">
        <f t="shared" si="16"/>
        <v>0</v>
      </c>
    </row>
    <row r="25" spans="2:24" s="45" customFormat="1" ht="16">
      <c r="B25" s="232" t="s">
        <v>205</v>
      </c>
      <c r="C25" s="275"/>
      <c r="D25" s="65" t="s">
        <v>166</v>
      </c>
      <c r="E25" s="76" t="s">
        <v>313</v>
      </c>
      <c r="F25" s="66">
        <v>10</v>
      </c>
      <c r="G25" s="65" t="s">
        <v>34</v>
      </c>
      <c r="H25" s="51"/>
      <c r="I25" s="51">
        <v>1</v>
      </c>
      <c r="J25" s="51"/>
      <c r="K25" s="51"/>
      <c r="L25" s="51"/>
      <c r="M25" s="56">
        <f t="shared" si="25"/>
        <v>1</v>
      </c>
      <c r="N25" s="63">
        <v>6000</v>
      </c>
      <c r="O25" s="48">
        <f t="shared" si="17"/>
        <v>0</v>
      </c>
      <c r="P25" s="48">
        <f t="shared" si="17"/>
        <v>6000</v>
      </c>
      <c r="Q25" s="48">
        <f t="shared" si="17"/>
        <v>0</v>
      </c>
      <c r="R25" s="48">
        <f t="shared" si="17"/>
        <v>0</v>
      </c>
      <c r="S25" s="144">
        <f t="shared" si="17"/>
        <v>0</v>
      </c>
      <c r="T25" s="165">
        <f t="shared" si="22"/>
        <v>6000</v>
      </c>
      <c r="U25" s="180">
        <f t="shared" si="16"/>
        <v>0</v>
      </c>
      <c r="V25" s="173">
        <f t="shared" si="16"/>
        <v>0</v>
      </c>
      <c r="W25" s="173">
        <f t="shared" si="16"/>
        <v>6000</v>
      </c>
      <c r="X25" s="181">
        <f t="shared" si="16"/>
        <v>0</v>
      </c>
    </row>
    <row r="26" spans="2:24" s="45" customFormat="1" ht="16">
      <c r="B26" s="232" t="s">
        <v>205</v>
      </c>
      <c r="C26" s="275"/>
      <c r="D26" s="65" t="s">
        <v>167</v>
      </c>
      <c r="E26" s="76" t="s">
        <v>313</v>
      </c>
      <c r="F26" s="66">
        <v>10</v>
      </c>
      <c r="G26" s="65" t="s">
        <v>34</v>
      </c>
      <c r="H26" s="51">
        <v>1</v>
      </c>
      <c r="I26" s="51"/>
      <c r="J26" s="51"/>
      <c r="K26" s="51"/>
      <c r="L26" s="51"/>
      <c r="M26" s="56">
        <f t="shared" si="25"/>
        <v>1</v>
      </c>
      <c r="N26" s="63">
        <v>20000</v>
      </c>
      <c r="O26" s="48">
        <f t="shared" si="17"/>
        <v>20000</v>
      </c>
      <c r="P26" s="48">
        <f t="shared" si="17"/>
        <v>0</v>
      </c>
      <c r="Q26" s="48">
        <f t="shared" si="17"/>
        <v>0</v>
      </c>
      <c r="R26" s="48">
        <f t="shared" si="17"/>
        <v>0</v>
      </c>
      <c r="S26" s="144">
        <f t="shared" si="17"/>
        <v>0</v>
      </c>
      <c r="T26" s="165">
        <f t="shared" si="22"/>
        <v>20000</v>
      </c>
      <c r="U26" s="180">
        <f t="shared" si="16"/>
        <v>0</v>
      </c>
      <c r="V26" s="173">
        <f t="shared" si="16"/>
        <v>0</v>
      </c>
      <c r="W26" s="173">
        <f t="shared" si="16"/>
        <v>20000</v>
      </c>
      <c r="X26" s="181">
        <f t="shared" si="16"/>
        <v>0</v>
      </c>
    </row>
    <row r="27" spans="2:24" s="45" customFormat="1" ht="16">
      <c r="B27" s="232" t="s">
        <v>205</v>
      </c>
      <c r="C27" s="275"/>
      <c r="D27" s="65" t="s">
        <v>169</v>
      </c>
      <c r="E27" s="76" t="s">
        <v>313</v>
      </c>
      <c r="F27" s="66">
        <v>11</v>
      </c>
      <c r="G27" s="65" t="s">
        <v>34</v>
      </c>
      <c r="H27" s="51">
        <v>1</v>
      </c>
      <c r="I27" s="51">
        <v>1</v>
      </c>
      <c r="J27" s="51"/>
      <c r="K27" s="51"/>
      <c r="L27" s="51"/>
      <c r="M27" s="56">
        <f>SUM(H27:L27)</f>
        <v>2</v>
      </c>
      <c r="N27" s="63">
        <v>20000</v>
      </c>
      <c r="O27" s="48">
        <f t="shared" si="17"/>
        <v>20000</v>
      </c>
      <c r="P27" s="48">
        <f t="shared" si="17"/>
        <v>20000</v>
      </c>
      <c r="Q27" s="48">
        <f t="shared" si="17"/>
        <v>0</v>
      </c>
      <c r="R27" s="48">
        <f t="shared" si="17"/>
        <v>0</v>
      </c>
      <c r="S27" s="144">
        <f t="shared" si="17"/>
        <v>0</v>
      </c>
      <c r="T27" s="165">
        <f t="shared" si="22"/>
        <v>40000</v>
      </c>
      <c r="U27" s="180">
        <f t="shared" si="16"/>
        <v>0</v>
      </c>
      <c r="V27" s="173">
        <f t="shared" si="16"/>
        <v>0</v>
      </c>
      <c r="W27" s="173">
        <f t="shared" si="16"/>
        <v>40000</v>
      </c>
      <c r="X27" s="181">
        <f t="shared" si="16"/>
        <v>0</v>
      </c>
    </row>
    <row r="28" spans="2:24" s="45" customFormat="1" ht="16">
      <c r="B28" s="232" t="s">
        <v>205</v>
      </c>
      <c r="C28" s="275"/>
      <c r="D28" s="65" t="s">
        <v>168</v>
      </c>
      <c r="E28" s="76" t="s">
        <v>313</v>
      </c>
      <c r="F28" s="66">
        <v>12</v>
      </c>
      <c r="G28" s="65" t="s">
        <v>34</v>
      </c>
      <c r="H28" s="51"/>
      <c r="I28" s="51">
        <v>1</v>
      </c>
      <c r="J28" s="51"/>
      <c r="K28" s="51"/>
      <c r="L28" s="51"/>
      <c r="M28" s="56">
        <f>SUM(H28:L28)</f>
        <v>1</v>
      </c>
      <c r="N28" s="63">
        <v>10000</v>
      </c>
      <c r="O28" s="48">
        <f t="shared" si="17"/>
        <v>0</v>
      </c>
      <c r="P28" s="48">
        <f t="shared" si="17"/>
        <v>10000</v>
      </c>
      <c r="Q28" s="48">
        <f>J28*$N28</f>
        <v>0</v>
      </c>
      <c r="R28" s="48">
        <f t="shared" si="17"/>
        <v>0</v>
      </c>
      <c r="S28" s="144">
        <f t="shared" si="17"/>
        <v>0</v>
      </c>
      <c r="T28" s="165">
        <f t="shared" si="22"/>
        <v>10000</v>
      </c>
      <c r="U28" s="180">
        <f t="shared" si="16"/>
        <v>0</v>
      </c>
      <c r="V28" s="173">
        <f t="shared" si="16"/>
        <v>0</v>
      </c>
      <c r="W28" s="173">
        <f t="shared" si="16"/>
        <v>10000</v>
      </c>
      <c r="X28" s="181">
        <f t="shared" si="16"/>
        <v>0</v>
      </c>
    </row>
    <row r="29" spans="2:24" s="45" customFormat="1" ht="16">
      <c r="B29" s="232" t="s">
        <v>205</v>
      </c>
      <c r="C29" s="275"/>
      <c r="D29" s="65" t="s">
        <v>279</v>
      </c>
      <c r="E29" s="76" t="s">
        <v>313</v>
      </c>
      <c r="F29" s="66">
        <v>5</v>
      </c>
      <c r="G29" s="65" t="s">
        <v>34</v>
      </c>
      <c r="H29" s="51">
        <v>1</v>
      </c>
      <c r="I29" s="51">
        <v>2</v>
      </c>
      <c r="J29" s="51"/>
      <c r="K29" s="51"/>
      <c r="L29" s="51"/>
      <c r="M29" s="56">
        <f t="shared" si="24"/>
        <v>3</v>
      </c>
      <c r="N29" s="63">
        <v>100000</v>
      </c>
      <c r="O29" s="48">
        <f t="shared" si="17"/>
        <v>100000</v>
      </c>
      <c r="P29" s="48">
        <f t="shared" si="18"/>
        <v>200000</v>
      </c>
      <c r="Q29" s="48">
        <f t="shared" si="19"/>
        <v>0</v>
      </c>
      <c r="R29" s="48">
        <f t="shared" si="20"/>
        <v>0</v>
      </c>
      <c r="S29" s="144">
        <f t="shared" si="21"/>
        <v>0</v>
      </c>
      <c r="T29" s="165">
        <f t="shared" si="22"/>
        <v>300000</v>
      </c>
      <c r="U29" s="180">
        <f t="shared" si="16"/>
        <v>0</v>
      </c>
      <c r="V29" s="173">
        <f t="shared" si="16"/>
        <v>0</v>
      </c>
      <c r="W29" s="173">
        <f t="shared" si="16"/>
        <v>300000</v>
      </c>
      <c r="X29" s="181">
        <f t="shared" si="16"/>
        <v>0</v>
      </c>
    </row>
    <row r="30" spans="2:24" s="45" customFormat="1" ht="16">
      <c r="B30" s="232" t="s">
        <v>205</v>
      </c>
      <c r="C30" s="275"/>
      <c r="D30" s="65" t="s">
        <v>288</v>
      </c>
      <c r="E30" s="76" t="s">
        <v>313</v>
      </c>
      <c r="F30" s="66"/>
      <c r="G30" s="65" t="s">
        <v>34</v>
      </c>
      <c r="H30" s="51"/>
      <c r="I30" s="51">
        <v>1</v>
      </c>
      <c r="J30" s="51"/>
      <c r="K30" s="51"/>
      <c r="L30" s="51"/>
      <c r="M30" s="56">
        <f t="shared" si="24"/>
        <v>1</v>
      </c>
      <c r="N30" s="63">
        <v>300000</v>
      </c>
      <c r="O30" s="48">
        <f t="shared" si="17"/>
        <v>0</v>
      </c>
      <c r="P30" s="48">
        <f t="shared" si="18"/>
        <v>300000</v>
      </c>
      <c r="Q30" s="48">
        <f t="shared" si="19"/>
        <v>0</v>
      </c>
      <c r="R30" s="48">
        <f t="shared" si="20"/>
        <v>0</v>
      </c>
      <c r="S30" s="144">
        <f t="shared" si="21"/>
        <v>0</v>
      </c>
      <c r="T30" s="165">
        <f t="shared" si="22"/>
        <v>300000</v>
      </c>
      <c r="U30" s="180">
        <f t="shared" si="16"/>
        <v>0</v>
      </c>
      <c r="V30" s="173">
        <f t="shared" si="16"/>
        <v>0</v>
      </c>
      <c r="W30" s="173">
        <f t="shared" si="16"/>
        <v>300000</v>
      </c>
      <c r="X30" s="181">
        <f t="shared" si="16"/>
        <v>0</v>
      </c>
    </row>
    <row r="31" spans="2:24" s="45" customFormat="1" ht="32">
      <c r="B31" s="232" t="s">
        <v>205</v>
      </c>
      <c r="C31" s="275"/>
      <c r="D31" s="65" t="s">
        <v>280</v>
      </c>
      <c r="E31" s="76" t="s">
        <v>313</v>
      </c>
      <c r="F31" s="66">
        <v>10</v>
      </c>
      <c r="G31" s="65" t="s">
        <v>34</v>
      </c>
      <c r="H31" s="51"/>
      <c r="I31" s="51">
        <v>1</v>
      </c>
      <c r="J31" s="51">
        <v>1</v>
      </c>
      <c r="K31" s="51"/>
      <c r="L31" s="51"/>
      <c r="M31" s="56">
        <f t="shared" si="24"/>
        <v>2</v>
      </c>
      <c r="N31" s="63">
        <v>480000</v>
      </c>
      <c r="O31" s="48">
        <f t="shared" si="17"/>
        <v>0</v>
      </c>
      <c r="P31" s="48">
        <f t="shared" si="18"/>
        <v>480000</v>
      </c>
      <c r="Q31" s="48">
        <f t="shared" si="19"/>
        <v>480000</v>
      </c>
      <c r="R31" s="48">
        <f t="shared" si="20"/>
        <v>0</v>
      </c>
      <c r="S31" s="144">
        <f t="shared" si="21"/>
        <v>0</v>
      </c>
      <c r="T31" s="165">
        <f t="shared" si="22"/>
        <v>960000</v>
      </c>
      <c r="U31" s="180">
        <f t="shared" si="16"/>
        <v>0</v>
      </c>
      <c r="V31" s="173">
        <f t="shared" si="16"/>
        <v>0</v>
      </c>
      <c r="W31" s="173">
        <f t="shared" si="16"/>
        <v>960000</v>
      </c>
      <c r="X31" s="181">
        <f t="shared" si="16"/>
        <v>0</v>
      </c>
    </row>
    <row r="32" spans="2:24" s="45" customFormat="1" ht="16">
      <c r="B32" s="232" t="s">
        <v>205</v>
      </c>
      <c r="C32" s="275"/>
      <c r="D32" s="65" t="s">
        <v>14</v>
      </c>
      <c r="E32" s="76" t="s">
        <v>313</v>
      </c>
      <c r="F32" s="66">
        <v>15</v>
      </c>
      <c r="G32" s="65" t="s">
        <v>34</v>
      </c>
      <c r="H32" s="51"/>
      <c r="I32" s="51">
        <v>1</v>
      </c>
      <c r="J32" s="51"/>
      <c r="K32" s="51"/>
      <c r="L32" s="51"/>
      <c r="M32" s="56">
        <f t="shared" si="24"/>
        <v>1</v>
      </c>
      <c r="N32" s="63">
        <v>240000</v>
      </c>
      <c r="O32" s="48">
        <f t="shared" si="17"/>
        <v>0</v>
      </c>
      <c r="P32" s="48">
        <f t="shared" si="18"/>
        <v>240000</v>
      </c>
      <c r="Q32" s="48">
        <f t="shared" si="19"/>
        <v>0</v>
      </c>
      <c r="R32" s="48">
        <f t="shared" si="20"/>
        <v>0</v>
      </c>
      <c r="S32" s="144">
        <f t="shared" si="21"/>
        <v>0</v>
      </c>
      <c r="T32" s="165">
        <f t="shared" si="22"/>
        <v>240000</v>
      </c>
      <c r="U32" s="180">
        <f t="shared" si="16"/>
        <v>0</v>
      </c>
      <c r="V32" s="173">
        <f t="shared" si="16"/>
        <v>0</v>
      </c>
      <c r="W32" s="173">
        <f t="shared" si="16"/>
        <v>240000</v>
      </c>
      <c r="X32" s="181">
        <f t="shared" si="16"/>
        <v>0</v>
      </c>
    </row>
    <row r="33" spans="2:24" s="45" customFormat="1" ht="16">
      <c r="B33" s="232" t="s">
        <v>205</v>
      </c>
      <c r="C33" s="275"/>
      <c r="D33" s="65" t="s">
        <v>2</v>
      </c>
      <c r="E33" s="76" t="s">
        <v>313</v>
      </c>
      <c r="F33" s="66">
        <v>20</v>
      </c>
      <c r="G33" s="65" t="s">
        <v>34</v>
      </c>
      <c r="H33" s="51"/>
      <c r="I33" s="51">
        <v>1</v>
      </c>
      <c r="J33" s="51"/>
      <c r="K33" s="51"/>
      <c r="L33" s="51"/>
      <c r="M33" s="56">
        <f t="shared" si="24"/>
        <v>1</v>
      </c>
      <c r="N33" s="63">
        <v>2500000</v>
      </c>
      <c r="O33" s="48">
        <f t="shared" si="17"/>
        <v>0</v>
      </c>
      <c r="P33" s="48">
        <f t="shared" si="18"/>
        <v>2500000</v>
      </c>
      <c r="Q33" s="48">
        <f t="shared" si="19"/>
        <v>0</v>
      </c>
      <c r="R33" s="48">
        <f t="shared" si="20"/>
        <v>0</v>
      </c>
      <c r="S33" s="144">
        <f t="shared" si="21"/>
        <v>0</v>
      </c>
      <c r="T33" s="165">
        <f t="shared" si="22"/>
        <v>2500000</v>
      </c>
      <c r="U33" s="180">
        <f t="shared" si="16"/>
        <v>0</v>
      </c>
      <c r="V33" s="173">
        <f t="shared" si="16"/>
        <v>0</v>
      </c>
      <c r="W33" s="173">
        <f t="shared" si="16"/>
        <v>2500000</v>
      </c>
      <c r="X33" s="181">
        <f t="shared" si="16"/>
        <v>0</v>
      </c>
    </row>
    <row r="34" spans="2:24" s="45" customFormat="1" ht="17" thickBot="1">
      <c r="B34" s="232" t="s">
        <v>205</v>
      </c>
      <c r="C34" s="276"/>
      <c r="D34" s="251" t="s">
        <v>289</v>
      </c>
      <c r="E34" s="76" t="s">
        <v>313</v>
      </c>
      <c r="F34" s="68">
        <v>30</v>
      </c>
      <c r="G34" s="67" t="s">
        <v>6</v>
      </c>
      <c r="H34" s="52">
        <f>H33</f>
        <v>0</v>
      </c>
      <c r="I34" s="52"/>
      <c r="J34" s="52">
        <f t="shared" ref="J34:L34" si="26">J33</f>
        <v>0</v>
      </c>
      <c r="K34" s="52">
        <f t="shared" si="26"/>
        <v>0</v>
      </c>
      <c r="L34" s="52">
        <f t="shared" si="26"/>
        <v>0</v>
      </c>
      <c r="M34" s="57">
        <f t="shared" si="24"/>
        <v>0</v>
      </c>
      <c r="N34" s="64">
        <v>500000</v>
      </c>
      <c r="O34" s="49">
        <f t="shared" si="17"/>
        <v>0</v>
      </c>
      <c r="P34" s="49">
        <f t="shared" si="18"/>
        <v>0</v>
      </c>
      <c r="Q34" s="49">
        <f t="shared" si="19"/>
        <v>0</v>
      </c>
      <c r="R34" s="49">
        <f t="shared" si="20"/>
        <v>0</v>
      </c>
      <c r="S34" s="145">
        <f t="shared" si="21"/>
        <v>0</v>
      </c>
      <c r="T34" s="166">
        <f t="shared" si="22"/>
        <v>0</v>
      </c>
      <c r="U34" s="182">
        <f t="shared" si="16"/>
        <v>0</v>
      </c>
      <c r="V34" s="183">
        <f t="shared" si="16"/>
        <v>0</v>
      </c>
      <c r="W34" s="183">
        <f t="shared" si="16"/>
        <v>0</v>
      </c>
      <c r="X34" s="184">
        <f t="shared" si="16"/>
        <v>0</v>
      </c>
    </row>
    <row r="35" spans="2:24" s="45" customFormat="1" ht="16" thickBot="1">
      <c r="C35" s="46"/>
      <c r="D35" s="46"/>
      <c r="E35" s="46"/>
      <c r="F35" s="46"/>
      <c r="G35" s="46"/>
      <c r="H35" s="46"/>
      <c r="I35" s="46"/>
      <c r="J35" s="46"/>
      <c r="K35" s="46"/>
      <c r="L35" s="46"/>
      <c r="M35" s="46"/>
      <c r="N35" s="46"/>
      <c r="O35" s="46"/>
      <c r="P35" s="46"/>
      <c r="Q35" s="46"/>
      <c r="R35" s="46"/>
      <c r="S35" s="46"/>
      <c r="T35" s="46"/>
      <c r="U35" s="46"/>
      <c r="V35" s="46"/>
      <c r="W35" s="46"/>
      <c r="X35" s="46"/>
    </row>
    <row r="36" spans="2:24" s="45" customFormat="1" ht="16" thickBot="1">
      <c r="C36" s="47"/>
      <c r="D36" s="46"/>
      <c r="E36" s="46"/>
      <c r="F36" s="46"/>
      <c r="G36" s="46"/>
      <c r="H36" s="46"/>
      <c r="I36" s="46"/>
      <c r="J36" s="46"/>
      <c r="K36" s="46"/>
      <c r="L36" s="87"/>
      <c r="M36" s="88"/>
      <c r="N36" s="89" t="s">
        <v>105</v>
      </c>
      <c r="O36" s="83">
        <f>SUM(O18:O34)</f>
        <v>802500</v>
      </c>
      <c r="P36" s="84">
        <f>SUM(P18:P34)</f>
        <v>4468500</v>
      </c>
      <c r="Q36" s="84">
        <f>SUM(Q18:Q34)</f>
        <v>742500</v>
      </c>
      <c r="R36" s="84">
        <f>SUM(R18:R34)</f>
        <v>0</v>
      </c>
      <c r="S36" s="85">
        <f>SUM(S18:S34)</f>
        <v>0</v>
      </c>
      <c r="T36" s="61">
        <f>SUM(O36:S36)</f>
        <v>6013500</v>
      </c>
      <c r="U36" s="172">
        <f>SUM(U18:U34)</f>
        <v>800000</v>
      </c>
      <c r="V36" s="174">
        <f t="shared" ref="V36:X36" si="27">SUM(V18:V34)</f>
        <v>0</v>
      </c>
      <c r="W36" s="174">
        <f t="shared" si="27"/>
        <v>5213500</v>
      </c>
      <c r="X36" s="175">
        <f t="shared" si="27"/>
        <v>0</v>
      </c>
    </row>
    <row r="37" spans="2:24">
      <c r="C37" s="11"/>
      <c r="D37" s="2"/>
      <c r="E37" s="2"/>
      <c r="F37" s="2"/>
      <c r="G37" s="2"/>
      <c r="H37" s="2"/>
      <c r="I37" s="2"/>
      <c r="J37" s="2"/>
      <c r="K37" s="2"/>
      <c r="L37" s="2"/>
      <c r="M37" s="2"/>
      <c r="N37" s="36"/>
      <c r="O37" s="37"/>
      <c r="P37" s="37"/>
      <c r="Q37" s="37"/>
      <c r="R37" s="37"/>
      <c r="S37" s="37"/>
      <c r="T37" s="38"/>
      <c r="U37" s="38"/>
      <c r="V37" s="38"/>
      <c r="W37" s="38"/>
      <c r="X37" s="38"/>
    </row>
    <row r="38" spans="2:24" ht="16" thickBot="1">
      <c r="C38" s="9"/>
      <c r="D38" s="2"/>
      <c r="E38" s="2"/>
      <c r="F38" s="2"/>
      <c r="G38" s="2"/>
      <c r="H38" s="2"/>
      <c r="I38" s="2"/>
      <c r="J38" s="2"/>
      <c r="K38" s="2"/>
      <c r="L38" s="2"/>
      <c r="M38" s="2"/>
      <c r="N38" s="36"/>
      <c r="O38" s="37"/>
      <c r="P38" s="37"/>
      <c r="Q38" s="37"/>
      <c r="R38" s="37"/>
      <c r="S38" s="37"/>
      <c r="T38" s="38"/>
      <c r="U38" s="38"/>
      <c r="V38" s="38"/>
      <c r="W38" s="38"/>
      <c r="X38" s="38"/>
    </row>
    <row r="39" spans="2:24" s="71" customFormat="1" ht="48">
      <c r="C39" s="75" t="s">
        <v>100</v>
      </c>
      <c r="D39" s="74" t="s">
        <v>7</v>
      </c>
      <c r="E39" s="74" t="str">
        <f t="shared" ref="E39:F39" si="28">E17</f>
        <v>Fin.
AFD, EU, GCF, GVNT</v>
      </c>
      <c r="F39" s="74" t="str">
        <f t="shared" si="28"/>
        <v>Durée de vie (an)</v>
      </c>
      <c r="G39" s="74" t="s">
        <v>33</v>
      </c>
      <c r="H39" s="72">
        <v>2021</v>
      </c>
      <c r="I39" s="72">
        <v>2022</v>
      </c>
      <c r="J39" s="72">
        <v>2023</v>
      </c>
      <c r="K39" s="72">
        <v>2024</v>
      </c>
      <c r="L39" s="72">
        <v>2025</v>
      </c>
      <c r="M39" s="69" t="s">
        <v>44</v>
      </c>
      <c r="N39" s="62" t="s">
        <v>45</v>
      </c>
      <c r="O39" s="73" t="s">
        <v>73</v>
      </c>
      <c r="P39" s="73" t="s">
        <v>47</v>
      </c>
      <c r="Q39" s="73" t="s">
        <v>74</v>
      </c>
      <c r="R39" s="73" t="s">
        <v>75</v>
      </c>
      <c r="S39" s="73" t="s">
        <v>76</v>
      </c>
      <c r="T39" s="176" t="s">
        <v>5</v>
      </c>
      <c r="U39" s="185"/>
      <c r="V39" s="186"/>
      <c r="W39" s="186"/>
      <c r="X39" s="187"/>
    </row>
    <row r="40" spans="2:24" ht="16">
      <c r="B40" s="231" t="s">
        <v>206</v>
      </c>
      <c r="C40" s="277" t="s">
        <v>13</v>
      </c>
      <c r="D40" s="65" t="s">
        <v>19</v>
      </c>
      <c r="E40" s="76" t="s">
        <v>313</v>
      </c>
      <c r="F40" s="66">
        <v>10</v>
      </c>
      <c r="G40" s="65" t="s">
        <v>35</v>
      </c>
      <c r="H40" s="51">
        <v>1</v>
      </c>
      <c r="I40" s="51"/>
      <c r="J40" s="51"/>
      <c r="K40" s="51"/>
      <c r="L40" s="51"/>
      <c r="M40" s="56">
        <f>SUM(H40:L40)</f>
        <v>1</v>
      </c>
      <c r="N40" s="63">
        <v>300000</v>
      </c>
      <c r="O40" s="48">
        <f>H40*$N40</f>
        <v>300000</v>
      </c>
      <c r="P40" s="48">
        <f>I40*$N40</f>
        <v>0</v>
      </c>
      <c r="Q40" s="48">
        <f>J40*$N40</f>
        <v>0</v>
      </c>
      <c r="R40" s="48">
        <f>K40*$N40</f>
        <v>0</v>
      </c>
      <c r="S40" s="48">
        <f>L40*$N40</f>
        <v>0</v>
      </c>
      <c r="T40" s="165">
        <f>SUM(O40:S40)</f>
        <v>300000</v>
      </c>
      <c r="U40" s="180">
        <f t="shared" ref="U40:X51" si="29">IF($E40=U$2,$T40,0)</f>
        <v>0</v>
      </c>
      <c r="V40" s="173">
        <f t="shared" si="29"/>
        <v>0</v>
      </c>
      <c r="W40" s="173">
        <f t="shared" si="29"/>
        <v>300000</v>
      </c>
      <c r="X40" s="181">
        <f t="shared" si="29"/>
        <v>0</v>
      </c>
    </row>
    <row r="41" spans="2:24" ht="16">
      <c r="B41" s="231" t="s">
        <v>206</v>
      </c>
      <c r="C41" s="273"/>
      <c r="D41" s="65" t="s">
        <v>89</v>
      </c>
      <c r="E41" s="76" t="s">
        <v>313</v>
      </c>
      <c r="F41" s="66">
        <v>10</v>
      </c>
      <c r="G41" s="65" t="s">
        <v>34</v>
      </c>
      <c r="H41" s="51">
        <v>1</v>
      </c>
      <c r="I41" s="51"/>
      <c r="J41" s="51"/>
      <c r="K41" s="51"/>
      <c r="L41" s="51"/>
      <c r="M41" s="56">
        <f t="shared" ref="M41:M51" si="30">SUM(H41:L41)</f>
        <v>1</v>
      </c>
      <c r="N41" s="63">
        <v>300000</v>
      </c>
      <c r="O41" s="48">
        <f t="shared" ref="O41:O51" si="31">H41*$N41</f>
        <v>300000</v>
      </c>
      <c r="P41" s="48">
        <f t="shared" ref="P41:P51" si="32">I41*$N41</f>
        <v>0</v>
      </c>
      <c r="Q41" s="48">
        <f t="shared" ref="Q41:Q51" si="33">J41*$N41</f>
        <v>0</v>
      </c>
      <c r="R41" s="48">
        <f t="shared" ref="R41:R51" si="34">K41*$N41</f>
        <v>0</v>
      </c>
      <c r="S41" s="48">
        <f t="shared" ref="S41:S51" si="35">L41*$N41</f>
        <v>0</v>
      </c>
      <c r="T41" s="165">
        <f t="shared" ref="T41:T51" si="36">SUM(O41:S41)</f>
        <v>300000</v>
      </c>
      <c r="U41" s="180">
        <f t="shared" si="29"/>
        <v>0</v>
      </c>
      <c r="V41" s="173">
        <f t="shared" si="29"/>
        <v>0</v>
      </c>
      <c r="W41" s="173">
        <f t="shared" si="29"/>
        <v>300000</v>
      </c>
      <c r="X41" s="181">
        <f t="shared" si="29"/>
        <v>0</v>
      </c>
    </row>
    <row r="42" spans="2:24" ht="16">
      <c r="B42" s="231" t="s">
        <v>206</v>
      </c>
      <c r="C42" s="273"/>
      <c r="D42" s="65" t="s">
        <v>43</v>
      </c>
      <c r="E42" s="76" t="s">
        <v>313</v>
      </c>
      <c r="F42" s="66">
        <v>10</v>
      </c>
      <c r="G42" s="65" t="s">
        <v>34</v>
      </c>
      <c r="H42" s="51">
        <v>1</v>
      </c>
      <c r="I42" s="51"/>
      <c r="J42" s="51"/>
      <c r="K42" s="51"/>
      <c r="L42" s="51"/>
      <c r="M42" s="56">
        <f t="shared" si="30"/>
        <v>1</v>
      </c>
      <c r="N42" s="63">
        <v>200000</v>
      </c>
      <c r="O42" s="48">
        <f t="shared" si="31"/>
        <v>200000</v>
      </c>
      <c r="P42" s="48">
        <f t="shared" si="32"/>
        <v>0</v>
      </c>
      <c r="Q42" s="48">
        <f t="shared" si="33"/>
        <v>0</v>
      </c>
      <c r="R42" s="48">
        <f t="shared" si="34"/>
        <v>0</v>
      </c>
      <c r="S42" s="48">
        <f t="shared" si="35"/>
        <v>0</v>
      </c>
      <c r="T42" s="165">
        <f t="shared" si="36"/>
        <v>200000</v>
      </c>
      <c r="U42" s="180">
        <f t="shared" si="29"/>
        <v>0</v>
      </c>
      <c r="V42" s="173">
        <f t="shared" si="29"/>
        <v>0</v>
      </c>
      <c r="W42" s="173">
        <f t="shared" si="29"/>
        <v>200000</v>
      </c>
      <c r="X42" s="181">
        <f t="shared" si="29"/>
        <v>0</v>
      </c>
    </row>
    <row r="43" spans="2:24" ht="16">
      <c r="B43" s="231" t="s">
        <v>206</v>
      </c>
      <c r="C43" s="273"/>
      <c r="D43" s="65" t="s">
        <v>36</v>
      </c>
      <c r="E43" s="76" t="s">
        <v>313</v>
      </c>
      <c r="F43" s="66">
        <v>10</v>
      </c>
      <c r="G43" s="65" t="s">
        <v>34</v>
      </c>
      <c r="H43" s="51"/>
      <c r="I43" s="51">
        <v>1</v>
      </c>
      <c r="J43" s="51"/>
      <c r="K43" s="51"/>
      <c r="L43" s="51"/>
      <c r="M43" s="56">
        <f t="shared" si="30"/>
        <v>1</v>
      </c>
      <c r="N43" s="63">
        <v>300000</v>
      </c>
      <c r="O43" s="48">
        <f t="shared" si="31"/>
        <v>0</v>
      </c>
      <c r="P43" s="48">
        <f t="shared" si="32"/>
        <v>300000</v>
      </c>
      <c r="Q43" s="48">
        <f t="shared" si="33"/>
        <v>0</v>
      </c>
      <c r="R43" s="48">
        <f t="shared" si="34"/>
        <v>0</v>
      </c>
      <c r="S43" s="48">
        <f t="shared" si="35"/>
        <v>0</v>
      </c>
      <c r="T43" s="165">
        <f t="shared" si="36"/>
        <v>300000</v>
      </c>
      <c r="U43" s="180">
        <f t="shared" si="29"/>
        <v>0</v>
      </c>
      <c r="V43" s="173">
        <f t="shared" si="29"/>
        <v>0</v>
      </c>
      <c r="W43" s="173">
        <f t="shared" si="29"/>
        <v>300000</v>
      </c>
      <c r="X43" s="181">
        <f t="shared" si="29"/>
        <v>0</v>
      </c>
    </row>
    <row r="44" spans="2:24" ht="16">
      <c r="B44" s="231" t="s">
        <v>206</v>
      </c>
      <c r="C44" s="273"/>
      <c r="D44" s="65" t="s">
        <v>67</v>
      </c>
      <c r="E44" s="76" t="s">
        <v>313</v>
      </c>
      <c r="F44" s="66">
        <v>10</v>
      </c>
      <c r="G44" s="65" t="s">
        <v>35</v>
      </c>
      <c r="H44" s="51"/>
      <c r="I44" s="51">
        <v>2</v>
      </c>
      <c r="J44" s="51"/>
      <c r="K44" s="51"/>
      <c r="L44" s="51"/>
      <c r="M44" s="56">
        <f t="shared" si="30"/>
        <v>2</v>
      </c>
      <c r="N44" s="63">
        <v>150000</v>
      </c>
      <c r="O44" s="48">
        <f t="shared" si="31"/>
        <v>0</v>
      </c>
      <c r="P44" s="48">
        <f t="shared" si="32"/>
        <v>300000</v>
      </c>
      <c r="Q44" s="48">
        <f t="shared" si="33"/>
        <v>0</v>
      </c>
      <c r="R44" s="48">
        <f t="shared" si="34"/>
        <v>0</v>
      </c>
      <c r="S44" s="48">
        <f t="shared" si="35"/>
        <v>0</v>
      </c>
      <c r="T44" s="165">
        <f t="shared" si="36"/>
        <v>300000</v>
      </c>
      <c r="U44" s="180">
        <f t="shared" si="29"/>
        <v>0</v>
      </c>
      <c r="V44" s="173">
        <f t="shared" si="29"/>
        <v>0</v>
      </c>
      <c r="W44" s="173">
        <f t="shared" si="29"/>
        <v>300000</v>
      </c>
      <c r="X44" s="181">
        <f t="shared" si="29"/>
        <v>0</v>
      </c>
    </row>
    <row r="45" spans="2:24" ht="16">
      <c r="B45" s="231" t="s">
        <v>206</v>
      </c>
      <c r="C45" s="273"/>
      <c r="D45" s="65" t="s">
        <v>37</v>
      </c>
      <c r="E45" s="76" t="s">
        <v>313</v>
      </c>
      <c r="F45" s="66"/>
      <c r="G45" s="65" t="s">
        <v>35</v>
      </c>
      <c r="H45" s="51"/>
      <c r="I45" s="51"/>
      <c r="J45" s="51"/>
      <c r="K45" s="51"/>
      <c r="L45" s="51"/>
      <c r="M45" s="56">
        <f t="shared" si="30"/>
        <v>0</v>
      </c>
      <c r="N45" s="63">
        <v>360000</v>
      </c>
      <c r="O45" s="48">
        <f t="shared" si="31"/>
        <v>0</v>
      </c>
      <c r="P45" s="48">
        <f t="shared" si="32"/>
        <v>0</v>
      </c>
      <c r="Q45" s="48">
        <f t="shared" si="33"/>
        <v>0</v>
      </c>
      <c r="R45" s="48">
        <f t="shared" si="34"/>
        <v>0</v>
      </c>
      <c r="S45" s="48">
        <f t="shared" si="35"/>
        <v>0</v>
      </c>
      <c r="T45" s="165">
        <f t="shared" si="36"/>
        <v>0</v>
      </c>
      <c r="U45" s="180">
        <f t="shared" si="29"/>
        <v>0</v>
      </c>
      <c r="V45" s="173">
        <f t="shared" si="29"/>
        <v>0</v>
      </c>
      <c r="W45" s="173">
        <f t="shared" si="29"/>
        <v>0</v>
      </c>
      <c r="X45" s="181">
        <f t="shared" si="29"/>
        <v>0</v>
      </c>
    </row>
    <row r="46" spans="2:24" ht="16">
      <c r="B46" s="231" t="s">
        <v>206</v>
      </c>
      <c r="C46" s="273"/>
      <c r="D46" s="65" t="s">
        <v>3</v>
      </c>
      <c r="E46" s="76" t="s">
        <v>313</v>
      </c>
      <c r="F46" s="66">
        <v>10</v>
      </c>
      <c r="G46" s="65" t="s">
        <v>35</v>
      </c>
      <c r="H46" s="51"/>
      <c r="I46" s="51">
        <v>1</v>
      </c>
      <c r="J46" s="51"/>
      <c r="K46" s="51"/>
      <c r="L46" s="51"/>
      <c r="M46" s="56">
        <f t="shared" si="30"/>
        <v>1</v>
      </c>
      <c r="N46" s="63">
        <v>300000</v>
      </c>
      <c r="O46" s="48">
        <f t="shared" si="31"/>
        <v>0</v>
      </c>
      <c r="P46" s="48">
        <f t="shared" si="32"/>
        <v>300000</v>
      </c>
      <c r="Q46" s="48">
        <f t="shared" si="33"/>
        <v>0</v>
      </c>
      <c r="R46" s="48">
        <f t="shared" si="34"/>
        <v>0</v>
      </c>
      <c r="S46" s="48">
        <f t="shared" si="35"/>
        <v>0</v>
      </c>
      <c r="T46" s="165">
        <f t="shared" si="36"/>
        <v>300000</v>
      </c>
      <c r="U46" s="180">
        <f t="shared" si="29"/>
        <v>0</v>
      </c>
      <c r="V46" s="173">
        <f t="shared" si="29"/>
        <v>0</v>
      </c>
      <c r="W46" s="173">
        <f t="shared" si="29"/>
        <v>300000</v>
      </c>
      <c r="X46" s="181">
        <f t="shared" si="29"/>
        <v>0</v>
      </c>
    </row>
    <row r="47" spans="2:24" ht="16">
      <c r="B47" s="231" t="s">
        <v>206</v>
      </c>
      <c r="C47" s="273"/>
      <c r="D47" s="65" t="s">
        <v>38</v>
      </c>
      <c r="E47" s="76" t="s">
        <v>313</v>
      </c>
      <c r="F47" s="66">
        <v>10</v>
      </c>
      <c r="G47" s="65" t="s">
        <v>35</v>
      </c>
      <c r="H47" s="51"/>
      <c r="I47" s="51">
        <v>0.75</v>
      </c>
      <c r="J47" s="51">
        <v>0.25</v>
      </c>
      <c r="K47" s="51"/>
      <c r="L47" s="51"/>
      <c r="M47" s="56">
        <f t="shared" si="30"/>
        <v>1</v>
      </c>
      <c r="N47" s="63">
        <v>500000</v>
      </c>
      <c r="O47" s="48">
        <f t="shared" si="31"/>
        <v>0</v>
      </c>
      <c r="P47" s="48">
        <f t="shared" si="32"/>
        <v>375000</v>
      </c>
      <c r="Q47" s="48">
        <f t="shared" si="33"/>
        <v>125000</v>
      </c>
      <c r="R47" s="48">
        <f t="shared" si="34"/>
        <v>0</v>
      </c>
      <c r="S47" s="48">
        <f t="shared" si="35"/>
        <v>0</v>
      </c>
      <c r="T47" s="165">
        <f t="shared" si="36"/>
        <v>500000</v>
      </c>
      <c r="U47" s="180">
        <f t="shared" si="29"/>
        <v>0</v>
      </c>
      <c r="V47" s="173">
        <f t="shared" si="29"/>
        <v>0</v>
      </c>
      <c r="W47" s="173">
        <f t="shared" si="29"/>
        <v>500000</v>
      </c>
      <c r="X47" s="181">
        <f t="shared" si="29"/>
        <v>0</v>
      </c>
    </row>
    <row r="48" spans="2:24" ht="16">
      <c r="B48" s="231" t="s">
        <v>206</v>
      </c>
      <c r="C48" s="273"/>
      <c r="D48" s="65" t="s">
        <v>15</v>
      </c>
      <c r="E48" s="76" t="s">
        <v>313</v>
      </c>
      <c r="F48" s="66"/>
      <c r="G48" s="65" t="s">
        <v>34</v>
      </c>
      <c r="H48" s="51"/>
      <c r="I48" s="51"/>
      <c r="J48" s="51"/>
      <c r="K48" s="51"/>
      <c r="L48" s="51"/>
      <c r="M48" s="56">
        <f t="shared" si="30"/>
        <v>0</v>
      </c>
      <c r="N48" s="63">
        <v>72000</v>
      </c>
      <c r="O48" s="48">
        <f t="shared" si="31"/>
        <v>0</v>
      </c>
      <c r="P48" s="48">
        <f t="shared" si="32"/>
        <v>0</v>
      </c>
      <c r="Q48" s="48">
        <f t="shared" si="33"/>
        <v>0</v>
      </c>
      <c r="R48" s="48">
        <f t="shared" si="34"/>
        <v>0</v>
      </c>
      <c r="S48" s="48">
        <f t="shared" si="35"/>
        <v>0</v>
      </c>
      <c r="T48" s="165">
        <f t="shared" si="36"/>
        <v>0</v>
      </c>
      <c r="U48" s="180">
        <f t="shared" si="29"/>
        <v>0</v>
      </c>
      <c r="V48" s="173">
        <f t="shared" si="29"/>
        <v>0</v>
      </c>
      <c r="W48" s="173">
        <f t="shared" si="29"/>
        <v>0</v>
      </c>
      <c r="X48" s="181">
        <f t="shared" si="29"/>
        <v>0</v>
      </c>
    </row>
    <row r="49" spans="2:24" ht="16">
      <c r="B49" s="231" t="s">
        <v>206</v>
      </c>
      <c r="C49" s="273"/>
      <c r="D49" s="65" t="s">
        <v>25</v>
      </c>
      <c r="E49" s="76" t="s">
        <v>313</v>
      </c>
      <c r="F49" s="66">
        <v>10</v>
      </c>
      <c r="G49" s="65" t="s">
        <v>35</v>
      </c>
      <c r="H49" s="51"/>
      <c r="I49" s="51">
        <v>1</v>
      </c>
      <c r="J49" s="51"/>
      <c r="K49" s="51"/>
      <c r="L49" s="51"/>
      <c r="M49" s="56">
        <f t="shared" si="30"/>
        <v>1</v>
      </c>
      <c r="N49" s="63">
        <v>400000</v>
      </c>
      <c r="O49" s="48">
        <f t="shared" si="31"/>
        <v>0</v>
      </c>
      <c r="P49" s="48">
        <f t="shared" si="32"/>
        <v>400000</v>
      </c>
      <c r="Q49" s="48">
        <f t="shared" si="33"/>
        <v>0</v>
      </c>
      <c r="R49" s="48">
        <f t="shared" si="34"/>
        <v>0</v>
      </c>
      <c r="S49" s="48">
        <f t="shared" si="35"/>
        <v>0</v>
      </c>
      <c r="T49" s="165">
        <f t="shared" si="36"/>
        <v>400000</v>
      </c>
      <c r="U49" s="180">
        <f t="shared" si="29"/>
        <v>0</v>
      </c>
      <c r="V49" s="173">
        <f t="shared" si="29"/>
        <v>0</v>
      </c>
      <c r="W49" s="173">
        <f t="shared" si="29"/>
        <v>400000</v>
      </c>
      <c r="X49" s="181">
        <f t="shared" si="29"/>
        <v>0</v>
      </c>
    </row>
    <row r="50" spans="2:24" ht="16">
      <c r="B50" s="1" t="s">
        <v>211</v>
      </c>
      <c r="C50" s="273"/>
      <c r="D50" s="65" t="s">
        <v>42</v>
      </c>
      <c r="E50" s="76" t="s">
        <v>313</v>
      </c>
      <c r="F50" s="66"/>
      <c r="G50" s="65" t="s">
        <v>35</v>
      </c>
      <c r="H50" s="51"/>
      <c r="I50" s="51">
        <v>1</v>
      </c>
      <c r="J50" s="51"/>
      <c r="K50" s="51"/>
      <c r="L50" s="51"/>
      <c r="M50" s="56">
        <f t="shared" si="30"/>
        <v>1</v>
      </c>
      <c r="N50" s="63">
        <v>300000</v>
      </c>
      <c r="O50" s="48">
        <f t="shared" si="31"/>
        <v>0</v>
      </c>
      <c r="P50" s="48">
        <f t="shared" si="32"/>
        <v>300000</v>
      </c>
      <c r="Q50" s="48">
        <f t="shared" si="33"/>
        <v>0</v>
      </c>
      <c r="R50" s="48">
        <f t="shared" si="34"/>
        <v>0</v>
      </c>
      <c r="S50" s="48">
        <f t="shared" si="35"/>
        <v>0</v>
      </c>
      <c r="T50" s="165">
        <f t="shared" si="36"/>
        <v>300000</v>
      </c>
      <c r="U50" s="180">
        <f t="shared" si="29"/>
        <v>0</v>
      </c>
      <c r="V50" s="173">
        <f t="shared" si="29"/>
        <v>0</v>
      </c>
      <c r="W50" s="173">
        <f t="shared" si="29"/>
        <v>300000</v>
      </c>
      <c r="X50" s="181">
        <f t="shared" si="29"/>
        <v>0</v>
      </c>
    </row>
    <row r="51" spans="2:24" ht="33.5" customHeight="1" thickBot="1">
      <c r="B51" s="231" t="s">
        <v>210</v>
      </c>
      <c r="C51" s="274"/>
      <c r="D51" s="67" t="s">
        <v>41</v>
      </c>
      <c r="E51" s="76" t="s">
        <v>313</v>
      </c>
      <c r="F51" s="68">
        <v>10</v>
      </c>
      <c r="G51" s="67" t="s">
        <v>35</v>
      </c>
      <c r="H51" s="52"/>
      <c r="I51" s="52"/>
      <c r="J51" s="52"/>
      <c r="K51" s="52"/>
      <c r="L51" s="52"/>
      <c r="M51" s="57">
        <f t="shared" si="30"/>
        <v>0</v>
      </c>
      <c r="N51" s="64">
        <v>60000</v>
      </c>
      <c r="O51" s="49">
        <f t="shared" si="31"/>
        <v>0</v>
      </c>
      <c r="P51" s="49">
        <f t="shared" si="32"/>
        <v>0</v>
      </c>
      <c r="Q51" s="49">
        <f t="shared" si="33"/>
        <v>0</v>
      </c>
      <c r="R51" s="49">
        <f t="shared" si="34"/>
        <v>0</v>
      </c>
      <c r="S51" s="49">
        <f t="shared" si="35"/>
        <v>0</v>
      </c>
      <c r="T51" s="166">
        <f t="shared" si="36"/>
        <v>0</v>
      </c>
      <c r="U51" s="182">
        <f t="shared" si="29"/>
        <v>0</v>
      </c>
      <c r="V51" s="183">
        <f t="shared" si="29"/>
        <v>0</v>
      </c>
      <c r="W51" s="183">
        <f t="shared" si="29"/>
        <v>0</v>
      </c>
      <c r="X51" s="184">
        <f t="shared" si="29"/>
        <v>0</v>
      </c>
    </row>
    <row r="52" spans="2:24" ht="16" thickBot="1">
      <c r="C52" s="9"/>
      <c r="D52" s="9"/>
      <c r="E52" s="9"/>
      <c r="F52" s="9"/>
      <c r="G52" s="9"/>
      <c r="H52" s="9"/>
      <c r="I52" s="9"/>
      <c r="J52" s="9"/>
      <c r="K52" s="9"/>
      <c r="L52" s="9"/>
      <c r="M52" s="9"/>
      <c r="N52" s="37"/>
      <c r="O52" s="37"/>
      <c r="P52" s="37"/>
      <c r="Q52" s="37"/>
      <c r="R52" s="37"/>
      <c r="S52" s="37"/>
      <c r="T52" s="37"/>
      <c r="U52" s="37"/>
      <c r="V52" s="37"/>
      <c r="W52" s="37"/>
      <c r="X52" s="37"/>
    </row>
    <row r="53" spans="2:24" s="45" customFormat="1" ht="16" thickBot="1">
      <c r="C53" s="47"/>
      <c r="D53" s="46"/>
      <c r="E53" s="46"/>
      <c r="F53" s="46"/>
      <c r="G53" s="46"/>
      <c r="H53" s="46"/>
      <c r="I53" s="46"/>
      <c r="J53" s="46"/>
      <c r="K53" s="46"/>
      <c r="L53" s="87"/>
      <c r="M53" s="88"/>
      <c r="N53" s="89" t="s">
        <v>106</v>
      </c>
      <c r="O53" s="83">
        <f>SUM(O40:O51)</f>
        <v>800000</v>
      </c>
      <c r="P53" s="84">
        <f t="shared" ref="P53:R53" si="37">SUM(P40:P51)</f>
        <v>1975000</v>
      </c>
      <c r="Q53" s="84">
        <f t="shared" si="37"/>
        <v>125000</v>
      </c>
      <c r="R53" s="84">
        <f t="shared" si="37"/>
        <v>0</v>
      </c>
      <c r="S53" s="85">
        <f t="shared" ref="S53" si="38">SUM(S40:S51)</f>
        <v>0</v>
      </c>
      <c r="T53" s="61">
        <f>SUM(O53:S53)</f>
        <v>2900000</v>
      </c>
      <c r="U53" s="172">
        <f>SUM(U40:U51)</f>
        <v>0</v>
      </c>
      <c r="V53" s="174">
        <f t="shared" ref="V53:X53" si="39">SUM(V40:V51)</f>
        <v>0</v>
      </c>
      <c r="W53" s="174">
        <f t="shared" si="39"/>
        <v>2900000</v>
      </c>
      <c r="X53" s="175">
        <f t="shared" si="39"/>
        <v>0</v>
      </c>
    </row>
    <row r="54" spans="2:24">
      <c r="C54" s="9"/>
      <c r="D54" s="9"/>
      <c r="E54" s="9"/>
      <c r="F54" s="9"/>
      <c r="G54" s="9"/>
      <c r="H54" s="9"/>
      <c r="I54" s="9"/>
      <c r="J54" s="9"/>
      <c r="K54" s="9"/>
      <c r="L54" s="9"/>
      <c r="M54" s="9"/>
      <c r="N54" s="9"/>
      <c r="O54" s="3"/>
      <c r="P54" s="3"/>
      <c r="Q54" s="3"/>
      <c r="R54" s="3"/>
      <c r="S54" s="3"/>
      <c r="T54" s="12"/>
      <c r="U54" s="12"/>
      <c r="V54" s="12"/>
      <c r="W54" s="12"/>
      <c r="X54" s="12"/>
    </row>
    <row r="55" spans="2:24">
      <c r="C55" s="9"/>
      <c r="D55" s="9"/>
      <c r="E55" s="9"/>
      <c r="F55" s="9"/>
      <c r="G55" s="9"/>
      <c r="H55" s="9"/>
      <c r="I55" s="9"/>
      <c r="J55" s="9"/>
      <c r="K55" s="9"/>
      <c r="L55" s="9"/>
      <c r="M55" s="9"/>
      <c r="N55" s="9"/>
      <c r="O55" s="3"/>
      <c r="P55" s="3"/>
      <c r="Q55" s="3"/>
      <c r="R55" s="3"/>
      <c r="S55" s="3"/>
      <c r="T55" s="12"/>
      <c r="U55" s="12"/>
      <c r="V55" s="12"/>
      <c r="W55" s="12"/>
      <c r="X55" s="12"/>
    </row>
    <row r="56" spans="2:24" ht="16" thickBot="1">
      <c r="C56" s="16"/>
      <c r="D56" s="9"/>
      <c r="E56" s="9"/>
      <c r="F56" s="9"/>
      <c r="G56" s="9"/>
      <c r="H56" s="9"/>
      <c r="I56" s="9"/>
      <c r="J56" s="5"/>
      <c r="K56" s="5"/>
      <c r="L56" s="5"/>
      <c r="M56" s="5"/>
      <c r="N56" s="4"/>
      <c r="O56" s="41"/>
      <c r="P56" s="41"/>
      <c r="Q56" s="41"/>
      <c r="R56" s="41"/>
      <c r="S56" s="41"/>
      <c r="T56" s="42"/>
      <c r="U56" s="42"/>
      <c r="V56" s="42"/>
      <c r="W56" s="42"/>
      <c r="X56" s="42"/>
    </row>
    <row r="57" spans="2:24" s="71" customFormat="1" ht="48">
      <c r="C57" s="75" t="s">
        <v>101</v>
      </c>
      <c r="D57" s="74" t="s">
        <v>7</v>
      </c>
      <c r="E57" s="74" t="str">
        <f>E17</f>
        <v>Fin.
AFD, EU, GCF, GVNT</v>
      </c>
      <c r="F57" s="74" t="str">
        <f>F17</f>
        <v>Durée de vie (an)</v>
      </c>
      <c r="G57" s="74" t="s">
        <v>33</v>
      </c>
      <c r="H57" s="72">
        <v>2021</v>
      </c>
      <c r="I57" s="72">
        <v>2022</v>
      </c>
      <c r="J57" s="72">
        <v>2023</v>
      </c>
      <c r="K57" s="72">
        <v>2024</v>
      </c>
      <c r="L57" s="72">
        <v>2025</v>
      </c>
      <c r="M57" s="69" t="s">
        <v>44</v>
      </c>
      <c r="N57" s="62" t="s">
        <v>45</v>
      </c>
      <c r="O57" s="73" t="s">
        <v>9</v>
      </c>
      <c r="P57" s="73" t="s">
        <v>10</v>
      </c>
      <c r="Q57" s="73" t="s">
        <v>11</v>
      </c>
      <c r="R57" s="73" t="s">
        <v>12</v>
      </c>
      <c r="S57" s="143" t="s">
        <v>47</v>
      </c>
      <c r="T57" s="176" t="s">
        <v>28</v>
      </c>
      <c r="U57" s="185"/>
      <c r="V57" s="186"/>
      <c r="W57" s="186"/>
      <c r="X57" s="187"/>
    </row>
    <row r="58" spans="2:24" ht="16">
      <c r="B58" s="231" t="s">
        <v>207</v>
      </c>
      <c r="C58" s="273"/>
      <c r="D58" s="76" t="s">
        <v>50</v>
      </c>
      <c r="E58" s="76" t="s">
        <v>312</v>
      </c>
      <c r="F58" s="77"/>
      <c r="G58" s="76" t="s">
        <v>34</v>
      </c>
      <c r="H58" s="78"/>
      <c r="I58" s="78">
        <v>5</v>
      </c>
      <c r="J58" s="78">
        <v>5</v>
      </c>
      <c r="K58" s="78"/>
      <c r="L58" s="78"/>
      <c r="M58" s="79">
        <f t="shared" ref="M58:M63" si="40">SUM(H58:L58)</f>
        <v>10</v>
      </c>
      <c r="N58" s="80">
        <v>15000</v>
      </c>
      <c r="O58" s="81">
        <f t="shared" ref="O58" si="41">H58*$N58</f>
        <v>0</v>
      </c>
      <c r="P58" s="81">
        <f t="shared" ref="P58" si="42">I58*$N58</f>
        <v>75000</v>
      </c>
      <c r="Q58" s="81">
        <f t="shared" ref="Q58" si="43">J58*$N58</f>
        <v>75000</v>
      </c>
      <c r="R58" s="81">
        <f t="shared" ref="R58" si="44">K58*$N58</f>
        <v>0</v>
      </c>
      <c r="S58" s="256">
        <f t="shared" ref="S58" si="45">L58*$N58</f>
        <v>0</v>
      </c>
      <c r="T58" s="168">
        <f t="shared" ref="T58" si="46">SUM(O58:S58)</f>
        <v>150000</v>
      </c>
      <c r="U58" s="180">
        <f t="shared" ref="U58:X64" si="47">IF($E58=U$2,$T58,0)</f>
        <v>0</v>
      </c>
      <c r="V58" s="173">
        <f t="shared" si="47"/>
        <v>150000</v>
      </c>
      <c r="W58" s="173">
        <f t="shared" si="47"/>
        <v>0</v>
      </c>
      <c r="X58" s="181">
        <f t="shared" si="47"/>
        <v>0</v>
      </c>
    </row>
    <row r="59" spans="2:24" ht="23.5" customHeight="1">
      <c r="B59" s="231" t="s">
        <v>207</v>
      </c>
      <c r="C59" s="273"/>
      <c r="D59" s="252" t="s">
        <v>53</v>
      </c>
      <c r="E59" s="76" t="s">
        <v>312</v>
      </c>
      <c r="F59" s="66"/>
      <c r="G59" s="65" t="s">
        <v>39</v>
      </c>
      <c r="H59" s="51">
        <v>1</v>
      </c>
      <c r="I59" s="51">
        <v>1</v>
      </c>
      <c r="J59" s="51"/>
      <c r="K59" s="51"/>
      <c r="L59" s="51"/>
      <c r="M59" s="56">
        <f t="shared" si="40"/>
        <v>2</v>
      </c>
      <c r="N59" s="63">
        <v>300000</v>
      </c>
      <c r="O59" s="48">
        <f>H59*$N59</f>
        <v>300000</v>
      </c>
      <c r="P59" s="48">
        <f>I59*$N59</f>
        <v>300000</v>
      </c>
      <c r="Q59" s="48">
        <f>J59*$N59</f>
        <v>0</v>
      </c>
      <c r="R59" s="48">
        <f>K59*$N59</f>
        <v>0</v>
      </c>
      <c r="S59" s="144">
        <f>L59*$N59</f>
        <v>0</v>
      </c>
      <c r="T59" s="59">
        <f>SUM(O59:S59)</f>
        <v>600000</v>
      </c>
      <c r="U59" s="180">
        <f t="shared" si="47"/>
        <v>0</v>
      </c>
      <c r="V59" s="173">
        <f t="shared" si="47"/>
        <v>600000</v>
      </c>
      <c r="W59" s="173">
        <f t="shared" si="47"/>
        <v>0</v>
      </c>
      <c r="X59" s="181">
        <f t="shared" si="47"/>
        <v>0</v>
      </c>
    </row>
    <row r="60" spans="2:24" ht="16">
      <c r="B60" s="231" t="s">
        <v>207</v>
      </c>
      <c r="C60" s="273"/>
      <c r="D60" s="76" t="s">
        <v>51</v>
      </c>
      <c r="E60" s="76" t="s">
        <v>312</v>
      </c>
      <c r="F60" s="77"/>
      <c r="G60" s="76" t="s">
        <v>34</v>
      </c>
      <c r="H60" s="78"/>
      <c r="I60" s="78"/>
      <c r="J60" s="78"/>
      <c r="K60" s="78"/>
      <c r="L60" s="78"/>
      <c r="M60" s="79">
        <f t="shared" si="40"/>
        <v>0</v>
      </c>
      <c r="N60" s="80">
        <v>5000</v>
      </c>
      <c r="O60" s="81">
        <f t="shared" ref="O60:O64" si="48">H60*$N60</f>
        <v>0</v>
      </c>
      <c r="P60" s="81">
        <f t="shared" ref="P60:P64" si="49">I60*$N60</f>
        <v>0</v>
      </c>
      <c r="Q60" s="81">
        <f t="shared" ref="Q60:Q64" si="50">J60*$N60</f>
        <v>0</v>
      </c>
      <c r="R60" s="81">
        <f t="shared" ref="R60:R64" si="51">K60*$N60</f>
        <v>0</v>
      </c>
      <c r="S60" s="256">
        <f t="shared" ref="S60:S64" si="52">L60*$N60</f>
        <v>0</v>
      </c>
      <c r="T60" s="168">
        <f t="shared" ref="T60:T64" si="53">SUM(O60:S60)</f>
        <v>0</v>
      </c>
      <c r="U60" s="180">
        <f t="shared" si="47"/>
        <v>0</v>
      </c>
      <c r="V60" s="173">
        <f t="shared" si="47"/>
        <v>0</v>
      </c>
      <c r="W60" s="173">
        <f t="shared" si="47"/>
        <v>0</v>
      </c>
      <c r="X60" s="181">
        <f t="shared" si="47"/>
        <v>0</v>
      </c>
    </row>
    <row r="61" spans="2:24" ht="16">
      <c r="B61" s="231" t="s">
        <v>207</v>
      </c>
      <c r="C61" s="273"/>
      <c r="D61" s="253" t="s">
        <v>52</v>
      </c>
      <c r="E61" s="76" t="s">
        <v>312</v>
      </c>
      <c r="F61" s="77"/>
      <c r="G61" s="76" t="s">
        <v>34</v>
      </c>
      <c r="H61" s="78">
        <v>2</v>
      </c>
      <c r="I61" s="78"/>
      <c r="J61" s="78"/>
      <c r="K61" s="78"/>
      <c r="L61" s="78"/>
      <c r="M61" s="79">
        <f t="shared" si="40"/>
        <v>2</v>
      </c>
      <c r="N61" s="80">
        <v>50000</v>
      </c>
      <c r="O61" s="81">
        <f t="shared" si="48"/>
        <v>100000</v>
      </c>
      <c r="P61" s="81">
        <f t="shared" si="49"/>
        <v>0</v>
      </c>
      <c r="Q61" s="81">
        <f t="shared" si="50"/>
        <v>0</v>
      </c>
      <c r="R61" s="81">
        <f t="shared" si="51"/>
        <v>0</v>
      </c>
      <c r="S61" s="256">
        <f t="shared" si="52"/>
        <v>0</v>
      </c>
      <c r="T61" s="168">
        <f t="shared" si="53"/>
        <v>100000</v>
      </c>
      <c r="U61" s="180">
        <f t="shared" si="47"/>
        <v>0</v>
      </c>
      <c r="V61" s="173">
        <f t="shared" si="47"/>
        <v>100000</v>
      </c>
      <c r="W61" s="173">
        <f t="shared" si="47"/>
        <v>0</v>
      </c>
      <c r="X61" s="181">
        <f t="shared" si="47"/>
        <v>0</v>
      </c>
    </row>
    <row r="62" spans="2:24" ht="48">
      <c r="B62" s="231" t="s">
        <v>199</v>
      </c>
      <c r="C62" s="273"/>
      <c r="D62" s="253" t="s">
        <v>287</v>
      </c>
      <c r="E62" s="76" t="s">
        <v>312</v>
      </c>
      <c r="F62" s="77"/>
      <c r="G62" s="76" t="s">
        <v>39</v>
      </c>
      <c r="H62" s="78"/>
      <c r="I62" s="78">
        <v>1</v>
      </c>
      <c r="J62" s="78"/>
      <c r="K62" s="78"/>
      <c r="L62" s="78"/>
      <c r="M62" s="79">
        <f t="shared" si="40"/>
        <v>1</v>
      </c>
      <c r="N62" s="80">
        <v>300000</v>
      </c>
      <c r="O62" s="81">
        <f t="shared" si="48"/>
        <v>0</v>
      </c>
      <c r="P62" s="81">
        <f t="shared" si="49"/>
        <v>300000</v>
      </c>
      <c r="Q62" s="81">
        <f t="shared" si="50"/>
        <v>0</v>
      </c>
      <c r="R62" s="81">
        <f t="shared" si="51"/>
        <v>0</v>
      </c>
      <c r="S62" s="256">
        <f t="shared" si="52"/>
        <v>0</v>
      </c>
      <c r="T62" s="168">
        <f t="shared" si="53"/>
        <v>300000</v>
      </c>
      <c r="U62" s="180">
        <f t="shared" si="47"/>
        <v>0</v>
      </c>
      <c r="V62" s="173">
        <f t="shared" si="47"/>
        <v>300000</v>
      </c>
      <c r="W62" s="173">
        <f t="shared" si="47"/>
        <v>0</v>
      </c>
      <c r="X62" s="181">
        <f t="shared" si="47"/>
        <v>0</v>
      </c>
    </row>
    <row r="63" spans="2:24" ht="32">
      <c r="B63" s="231" t="s">
        <v>208</v>
      </c>
      <c r="C63" s="273"/>
      <c r="D63" s="76" t="s">
        <v>54</v>
      </c>
      <c r="E63" s="76" t="s">
        <v>312</v>
      </c>
      <c r="F63" s="77"/>
      <c r="G63" s="76" t="s">
        <v>39</v>
      </c>
      <c r="H63" s="78"/>
      <c r="I63" s="78">
        <v>1</v>
      </c>
      <c r="J63" s="78"/>
      <c r="K63" s="78"/>
      <c r="L63" s="78"/>
      <c r="M63" s="79">
        <f t="shared" si="40"/>
        <v>1</v>
      </c>
      <c r="N63" s="80">
        <v>300000</v>
      </c>
      <c r="O63" s="81">
        <f t="shared" si="48"/>
        <v>0</v>
      </c>
      <c r="P63" s="81">
        <f t="shared" si="49"/>
        <v>300000</v>
      </c>
      <c r="Q63" s="81">
        <f t="shared" si="50"/>
        <v>0</v>
      </c>
      <c r="R63" s="81">
        <f t="shared" si="51"/>
        <v>0</v>
      </c>
      <c r="S63" s="256">
        <f t="shared" si="52"/>
        <v>0</v>
      </c>
      <c r="T63" s="168">
        <f t="shared" si="53"/>
        <v>300000</v>
      </c>
      <c r="U63" s="180">
        <f t="shared" si="47"/>
        <v>0</v>
      </c>
      <c r="V63" s="173">
        <f t="shared" si="47"/>
        <v>300000</v>
      </c>
      <c r="W63" s="173">
        <f t="shared" si="47"/>
        <v>0</v>
      </c>
      <c r="X63" s="181">
        <f t="shared" si="47"/>
        <v>0</v>
      </c>
    </row>
    <row r="64" spans="2:24" ht="65" thickBot="1">
      <c r="B64" s="231" t="s">
        <v>215</v>
      </c>
      <c r="C64" s="274"/>
      <c r="D64" s="67" t="s">
        <v>55</v>
      </c>
      <c r="E64" s="257" t="s">
        <v>312</v>
      </c>
      <c r="F64" s="68"/>
      <c r="G64" s="67" t="s">
        <v>39</v>
      </c>
      <c r="H64" s="52"/>
      <c r="I64" s="52"/>
      <c r="J64" s="52">
        <v>1</v>
      </c>
      <c r="K64" s="52"/>
      <c r="L64" s="52"/>
      <c r="M64" s="57">
        <f>SUM(H64:L64)</f>
        <v>1</v>
      </c>
      <c r="N64" s="64">
        <v>300000</v>
      </c>
      <c r="O64" s="49">
        <f t="shared" si="48"/>
        <v>0</v>
      </c>
      <c r="P64" s="49">
        <f t="shared" si="49"/>
        <v>0</v>
      </c>
      <c r="Q64" s="49">
        <f t="shared" si="50"/>
        <v>300000</v>
      </c>
      <c r="R64" s="49">
        <f t="shared" si="51"/>
        <v>0</v>
      </c>
      <c r="S64" s="145">
        <f t="shared" si="52"/>
        <v>0</v>
      </c>
      <c r="T64" s="166">
        <f t="shared" si="53"/>
        <v>300000</v>
      </c>
      <c r="U64" s="182">
        <f t="shared" si="47"/>
        <v>0</v>
      </c>
      <c r="V64" s="183">
        <f t="shared" si="47"/>
        <v>300000</v>
      </c>
      <c r="W64" s="183">
        <f t="shared" si="47"/>
        <v>0</v>
      </c>
      <c r="X64" s="184">
        <f t="shared" si="47"/>
        <v>0</v>
      </c>
    </row>
    <row r="65" spans="2:24" ht="16" thickBot="1">
      <c r="C65" s="16"/>
      <c r="D65" s="9"/>
      <c r="E65" s="9"/>
      <c r="F65" s="9"/>
      <c r="G65" s="9"/>
      <c r="H65" s="9"/>
      <c r="I65" s="9"/>
      <c r="J65" s="5"/>
      <c r="K65" s="5"/>
      <c r="L65" s="5"/>
      <c r="M65" s="5"/>
      <c r="N65" s="4"/>
      <c r="O65" s="39"/>
      <c r="P65" s="39"/>
      <c r="Q65" s="40"/>
      <c r="R65" s="40"/>
      <c r="S65" s="40"/>
      <c r="T65" s="41"/>
      <c r="U65" s="41"/>
      <c r="V65" s="41"/>
      <c r="W65" s="41"/>
      <c r="X65" s="41"/>
    </row>
    <row r="66" spans="2:24" s="45" customFormat="1" ht="16" thickBot="1">
      <c r="C66" s="47"/>
      <c r="D66" s="46"/>
      <c r="E66" s="46"/>
      <c r="F66" s="46"/>
      <c r="G66" s="46"/>
      <c r="H66" s="46"/>
      <c r="I66" s="46"/>
      <c r="J66" s="46"/>
      <c r="K66" s="46"/>
      <c r="L66" s="87"/>
      <c r="M66" s="88"/>
      <c r="N66" s="89" t="s">
        <v>108</v>
      </c>
      <c r="O66" s="83">
        <f>SUM(O58:O64)</f>
        <v>400000</v>
      </c>
      <c r="P66" s="84">
        <f>SUM(P58:P64)</f>
        <v>975000</v>
      </c>
      <c r="Q66" s="84">
        <f>SUM(Q58:Q64)</f>
        <v>375000</v>
      </c>
      <c r="R66" s="84">
        <f>SUM(R58:R64)</f>
        <v>0</v>
      </c>
      <c r="S66" s="85">
        <f>SUM(S58:S64)</f>
        <v>0</v>
      </c>
      <c r="T66" s="61">
        <f>SUM(O66:S66)</f>
        <v>1750000</v>
      </c>
      <c r="U66" s="172">
        <f t="shared" ref="U66:X66" si="54">SUM(U58:U64)</f>
        <v>0</v>
      </c>
      <c r="V66" s="174">
        <f t="shared" si="54"/>
        <v>1750000</v>
      </c>
      <c r="W66" s="174">
        <f t="shared" si="54"/>
        <v>0</v>
      </c>
      <c r="X66" s="175">
        <f t="shared" si="54"/>
        <v>0</v>
      </c>
    </row>
    <row r="67" spans="2:24" s="2" customFormat="1">
      <c r="C67" s="16"/>
      <c r="D67" s="9"/>
      <c r="E67" s="9"/>
      <c r="F67" s="9"/>
      <c r="G67" s="9"/>
      <c r="H67" s="9"/>
      <c r="I67" s="9"/>
      <c r="J67" s="5"/>
      <c r="K67" s="5"/>
      <c r="L67" s="5"/>
      <c r="M67" s="5"/>
      <c r="N67" s="4"/>
      <c r="O67" s="41"/>
      <c r="P67" s="41"/>
      <c r="Q67" s="41"/>
      <c r="R67" s="41"/>
      <c r="S67" s="41"/>
      <c r="T67" s="42"/>
      <c r="U67" s="42"/>
      <c r="V67" s="42"/>
      <c r="W67" s="42"/>
      <c r="X67" s="42"/>
    </row>
    <row r="68" spans="2:24" ht="16" thickBot="1">
      <c r="C68" s="16"/>
      <c r="D68" s="9"/>
      <c r="E68" s="9"/>
      <c r="F68" s="9"/>
      <c r="G68" s="9"/>
      <c r="H68" s="9"/>
      <c r="I68" s="9"/>
      <c r="J68" s="5"/>
      <c r="K68" s="5"/>
      <c r="L68" s="5"/>
      <c r="M68" s="5"/>
      <c r="N68" s="4"/>
      <c r="O68" s="41"/>
      <c r="P68" s="41"/>
      <c r="Q68" s="41"/>
      <c r="R68" s="41"/>
      <c r="S68" s="41"/>
      <c r="T68" s="42"/>
      <c r="U68" s="42"/>
      <c r="V68" s="42"/>
      <c r="W68" s="42"/>
      <c r="X68" s="42"/>
    </row>
    <row r="69" spans="2:24" s="71" customFormat="1" ht="48">
      <c r="C69" s="75" t="s">
        <v>101</v>
      </c>
      <c r="D69" s="74" t="s">
        <v>7</v>
      </c>
      <c r="E69" s="74" t="str">
        <f>E17</f>
        <v>Fin.
AFD, EU, GCF, GVNT</v>
      </c>
      <c r="F69" s="74" t="str">
        <f>F17</f>
        <v>Durée de vie (an)</v>
      </c>
      <c r="G69" s="74" t="s">
        <v>33</v>
      </c>
      <c r="H69" s="72">
        <v>2021</v>
      </c>
      <c r="I69" s="72">
        <v>2022</v>
      </c>
      <c r="J69" s="72">
        <v>2023</v>
      </c>
      <c r="K69" s="72">
        <v>2024</v>
      </c>
      <c r="L69" s="72">
        <v>2025</v>
      </c>
      <c r="M69" s="69" t="s">
        <v>44</v>
      </c>
      <c r="N69" s="62" t="s">
        <v>45</v>
      </c>
      <c r="O69" s="73" t="s">
        <v>9</v>
      </c>
      <c r="P69" s="73" t="s">
        <v>10</v>
      </c>
      <c r="Q69" s="73" t="s">
        <v>11</v>
      </c>
      <c r="R69" s="73" t="s">
        <v>12</v>
      </c>
      <c r="S69" s="73" t="s">
        <v>47</v>
      </c>
      <c r="T69" s="176" t="s">
        <v>28</v>
      </c>
      <c r="U69" s="185"/>
      <c r="V69" s="186"/>
      <c r="W69" s="186"/>
      <c r="X69" s="187"/>
    </row>
    <row r="70" spans="2:24" ht="16">
      <c r="B70" s="231" t="s">
        <v>207</v>
      </c>
      <c r="C70" s="277" t="s">
        <v>49</v>
      </c>
      <c r="D70" s="65" t="s">
        <v>69</v>
      </c>
      <c r="E70" s="76" t="s">
        <v>312</v>
      </c>
      <c r="F70" s="66"/>
      <c r="G70" s="65" t="s">
        <v>65</v>
      </c>
      <c r="H70" s="51"/>
      <c r="I70" s="51">
        <v>0.25</v>
      </c>
      <c r="J70" s="51">
        <v>0.75</v>
      </c>
      <c r="K70" s="51"/>
      <c r="L70" s="51"/>
      <c r="M70" s="139">
        <f>SUM(H70:L70)</f>
        <v>1</v>
      </c>
      <c r="N70" s="63">
        <v>500000</v>
      </c>
      <c r="O70" s="48">
        <f>H70*$N70</f>
        <v>0</v>
      </c>
      <c r="P70" s="48">
        <f>I70*$N70</f>
        <v>125000</v>
      </c>
      <c r="Q70" s="48">
        <f>J70*$N70</f>
        <v>375000</v>
      </c>
      <c r="R70" s="48">
        <f>K70*$N70</f>
        <v>0</v>
      </c>
      <c r="S70" s="48">
        <f>L70*$N70</f>
        <v>0</v>
      </c>
      <c r="T70" s="165">
        <f>SUM(O70:S70)</f>
        <v>500000</v>
      </c>
      <c r="U70" s="180">
        <f t="shared" ref="U70:X75" si="55">IF($E70=U$2,$T70,0)</f>
        <v>0</v>
      </c>
      <c r="V70" s="173">
        <f t="shared" si="55"/>
        <v>500000</v>
      </c>
      <c r="W70" s="173">
        <f t="shared" si="55"/>
        <v>0</v>
      </c>
      <c r="X70" s="181">
        <f t="shared" si="55"/>
        <v>0</v>
      </c>
    </row>
    <row r="71" spans="2:24" ht="32">
      <c r="B71" s="231" t="s">
        <v>208</v>
      </c>
      <c r="C71" s="273"/>
      <c r="D71" s="76" t="s">
        <v>66</v>
      </c>
      <c r="E71" s="76" t="s">
        <v>312</v>
      </c>
      <c r="F71" s="77"/>
      <c r="G71" s="76" t="s">
        <v>65</v>
      </c>
      <c r="H71" s="78">
        <v>0.5</v>
      </c>
      <c r="I71" s="78">
        <v>0.5</v>
      </c>
      <c r="J71" s="78"/>
      <c r="K71" s="78"/>
      <c r="L71" s="78"/>
      <c r="M71" s="139">
        <f t="shared" ref="M71:M74" si="56">SUM(H71:L71)</f>
        <v>1</v>
      </c>
      <c r="N71" s="80">
        <v>360000</v>
      </c>
      <c r="O71" s="81">
        <f t="shared" ref="O71:O75" si="57">H71*$N71</f>
        <v>180000</v>
      </c>
      <c r="P71" s="81">
        <f t="shared" ref="P71:P75" si="58">I71*$N71</f>
        <v>180000</v>
      </c>
      <c r="Q71" s="81">
        <f t="shared" ref="Q71:Q75" si="59">J71*$N71</f>
        <v>0</v>
      </c>
      <c r="R71" s="81">
        <f t="shared" ref="R71:S75" si="60">K71*$N71</f>
        <v>0</v>
      </c>
      <c r="S71" s="81">
        <f t="shared" si="60"/>
        <v>0</v>
      </c>
      <c r="T71" s="168">
        <f t="shared" ref="T71:T75" si="61">SUM(O71:S71)</f>
        <v>360000</v>
      </c>
      <c r="U71" s="180">
        <f t="shared" si="55"/>
        <v>0</v>
      </c>
      <c r="V71" s="173">
        <f t="shared" si="55"/>
        <v>360000</v>
      </c>
      <c r="W71" s="173">
        <f t="shared" si="55"/>
        <v>0</v>
      </c>
      <c r="X71" s="181">
        <f t="shared" si="55"/>
        <v>0</v>
      </c>
    </row>
    <row r="72" spans="2:24" ht="16">
      <c r="B72" s="231" t="s">
        <v>210</v>
      </c>
      <c r="C72" s="273"/>
      <c r="D72" s="76" t="s">
        <v>292</v>
      </c>
      <c r="E72" s="76" t="s">
        <v>313</v>
      </c>
      <c r="F72" s="77"/>
      <c r="G72" s="76" t="s">
        <v>39</v>
      </c>
      <c r="H72" s="78"/>
      <c r="I72" s="78">
        <v>1</v>
      </c>
      <c r="J72" s="137">
        <v>1</v>
      </c>
      <c r="K72" s="137"/>
      <c r="L72" s="78"/>
      <c r="M72" s="139">
        <f t="shared" si="56"/>
        <v>2</v>
      </c>
      <c r="N72" s="80">
        <v>150000</v>
      </c>
      <c r="O72" s="81">
        <f t="shared" si="57"/>
        <v>0</v>
      </c>
      <c r="P72" s="81">
        <f t="shared" si="58"/>
        <v>150000</v>
      </c>
      <c r="Q72" s="81">
        <f t="shared" si="59"/>
        <v>150000</v>
      </c>
      <c r="R72" s="81">
        <f t="shared" si="60"/>
        <v>0</v>
      </c>
      <c r="S72" s="81">
        <f t="shared" si="60"/>
        <v>0</v>
      </c>
      <c r="T72" s="168">
        <f t="shared" si="61"/>
        <v>300000</v>
      </c>
      <c r="U72" s="180">
        <f t="shared" si="55"/>
        <v>0</v>
      </c>
      <c r="V72" s="173">
        <f t="shared" si="55"/>
        <v>0</v>
      </c>
      <c r="W72" s="173">
        <f t="shared" si="55"/>
        <v>300000</v>
      </c>
      <c r="X72" s="181">
        <f t="shared" si="55"/>
        <v>0</v>
      </c>
    </row>
    <row r="73" spans="2:24" ht="16">
      <c r="B73" s="231" t="s">
        <v>210</v>
      </c>
      <c r="C73" s="273"/>
      <c r="D73" s="76" t="s">
        <v>293</v>
      </c>
      <c r="E73" s="76" t="s">
        <v>313</v>
      </c>
      <c r="F73" s="77"/>
      <c r="G73" s="76" t="s">
        <v>39</v>
      </c>
      <c r="H73" s="78"/>
      <c r="I73" s="78"/>
      <c r="J73" s="137">
        <v>1</v>
      </c>
      <c r="K73" s="78">
        <v>1</v>
      </c>
      <c r="L73" s="137"/>
      <c r="M73" s="139">
        <f t="shared" ref="M73" si="62">SUM(H73:L73)</f>
        <v>2</v>
      </c>
      <c r="N73" s="80">
        <v>150000</v>
      </c>
      <c r="O73" s="81">
        <f t="shared" ref="O73" si="63">H73*$N73</f>
        <v>0</v>
      </c>
      <c r="P73" s="81">
        <f t="shared" ref="P73" si="64">I73*$N73</f>
        <v>0</v>
      </c>
      <c r="Q73" s="81">
        <f t="shared" ref="Q73" si="65">J73*$N73</f>
        <v>150000</v>
      </c>
      <c r="R73" s="81">
        <f t="shared" ref="R73" si="66">K73*$N73</f>
        <v>150000</v>
      </c>
      <c r="S73" s="81">
        <f t="shared" ref="S73" si="67">L73*$N73</f>
        <v>0</v>
      </c>
      <c r="T73" s="168">
        <f t="shared" ref="T73" si="68">SUM(O73:S73)</f>
        <v>300000</v>
      </c>
      <c r="U73" s="180">
        <f t="shared" si="55"/>
        <v>0</v>
      </c>
      <c r="V73" s="173">
        <f t="shared" si="55"/>
        <v>0</v>
      </c>
      <c r="W73" s="173">
        <f t="shared" si="55"/>
        <v>300000</v>
      </c>
      <c r="X73" s="181">
        <f t="shared" si="55"/>
        <v>0</v>
      </c>
    </row>
    <row r="74" spans="2:24" ht="16">
      <c r="B74" s="231" t="s">
        <v>210</v>
      </c>
      <c r="C74" s="273"/>
      <c r="D74" s="76" t="s">
        <v>294</v>
      </c>
      <c r="E74" s="76" t="s">
        <v>313</v>
      </c>
      <c r="F74" s="77"/>
      <c r="G74" s="76" t="s">
        <v>39</v>
      </c>
      <c r="H74" s="78"/>
      <c r="I74" s="78"/>
      <c r="J74" s="137">
        <v>1</v>
      </c>
      <c r="K74" s="78">
        <v>1</v>
      </c>
      <c r="L74" s="137"/>
      <c r="M74" s="139">
        <f t="shared" si="56"/>
        <v>2</v>
      </c>
      <c r="N74" s="80">
        <v>150000</v>
      </c>
      <c r="O74" s="81">
        <f t="shared" si="57"/>
        <v>0</v>
      </c>
      <c r="P74" s="81">
        <f t="shared" si="58"/>
        <v>0</v>
      </c>
      <c r="Q74" s="81">
        <f t="shared" si="59"/>
        <v>150000</v>
      </c>
      <c r="R74" s="81">
        <f t="shared" si="60"/>
        <v>150000</v>
      </c>
      <c r="S74" s="81">
        <f t="shared" si="60"/>
        <v>0</v>
      </c>
      <c r="T74" s="168">
        <f t="shared" si="61"/>
        <v>300000</v>
      </c>
      <c r="U74" s="180">
        <f t="shared" si="55"/>
        <v>0</v>
      </c>
      <c r="V74" s="173">
        <f t="shared" si="55"/>
        <v>0</v>
      </c>
      <c r="W74" s="173">
        <f t="shared" si="55"/>
        <v>300000</v>
      </c>
      <c r="X74" s="181">
        <f t="shared" si="55"/>
        <v>0</v>
      </c>
    </row>
    <row r="75" spans="2:24" ht="17" thickBot="1">
      <c r="B75" s="231" t="s">
        <v>210</v>
      </c>
      <c r="C75" s="274"/>
      <c r="D75" s="67" t="s">
        <v>295</v>
      </c>
      <c r="E75" s="76" t="s">
        <v>313</v>
      </c>
      <c r="F75" s="68"/>
      <c r="G75" s="67" t="s">
        <v>39</v>
      </c>
      <c r="H75" s="52">
        <v>1</v>
      </c>
      <c r="I75" s="52">
        <v>1</v>
      </c>
      <c r="J75" s="52"/>
      <c r="K75" s="138"/>
      <c r="L75" s="52"/>
      <c r="M75" s="140">
        <f>SUM(H75:L75)</f>
        <v>2</v>
      </c>
      <c r="N75" s="64">
        <v>150000</v>
      </c>
      <c r="O75" s="49">
        <f t="shared" si="57"/>
        <v>150000</v>
      </c>
      <c r="P75" s="49">
        <f t="shared" si="58"/>
        <v>150000</v>
      </c>
      <c r="Q75" s="49">
        <f t="shared" si="59"/>
        <v>0</v>
      </c>
      <c r="R75" s="49">
        <f t="shared" si="60"/>
        <v>0</v>
      </c>
      <c r="S75" s="49">
        <f t="shared" si="60"/>
        <v>0</v>
      </c>
      <c r="T75" s="166">
        <f t="shared" si="61"/>
        <v>300000</v>
      </c>
      <c r="U75" s="182">
        <f t="shared" si="55"/>
        <v>0</v>
      </c>
      <c r="V75" s="183">
        <f t="shared" si="55"/>
        <v>0</v>
      </c>
      <c r="W75" s="183">
        <f t="shared" si="55"/>
        <v>300000</v>
      </c>
      <c r="X75" s="184">
        <f t="shared" si="55"/>
        <v>0</v>
      </c>
    </row>
    <row r="76" spans="2:24" ht="16" thickBot="1">
      <c r="C76" s="16"/>
      <c r="D76" s="9"/>
      <c r="E76" s="9"/>
      <c r="F76" s="9"/>
      <c r="G76" s="9"/>
      <c r="H76" s="9"/>
      <c r="I76" s="9"/>
      <c r="J76" s="5"/>
      <c r="K76" s="5"/>
      <c r="L76" s="5"/>
      <c r="M76" s="5"/>
      <c r="N76" s="4"/>
      <c r="O76" s="39"/>
      <c r="P76" s="39"/>
      <c r="Q76" s="40"/>
      <c r="R76" s="40"/>
      <c r="S76" s="40"/>
      <c r="T76" s="41"/>
      <c r="U76" s="41"/>
      <c r="V76" s="41"/>
      <c r="W76" s="41"/>
      <c r="X76" s="41"/>
    </row>
    <row r="77" spans="2:24" s="45" customFormat="1" ht="16" thickBot="1">
      <c r="C77" s="47"/>
      <c r="D77" s="46"/>
      <c r="E77" s="46"/>
      <c r="F77" s="46"/>
      <c r="G77" s="46"/>
      <c r="H77" s="46"/>
      <c r="I77" s="46"/>
      <c r="J77" s="46"/>
      <c r="K77" s="46"/>
      <c r="L77" s="87"/>
      <c r="M77" s="88"/>
      <c r="N77" s="89" t="s">
        <v>109</v>
      </c>
      <c r="O77" s="83">
        <f>SUM(O70:O75)</f>
        <v>330000</v>
      </c>
      <c r="P77" s="84">
        <f>SUM(P70:P75)</f>
        <v>605000</v>
      </c>
      <c r="Q77" s="84">
        <f>SUM(Q70:Q75)</f>
        <v>825000</v>
      </c>
      <c r="R77" s="84">
        <f>SUM(R70:R75)</f>
        <v>300000</v>
      </c>
      <c r="S77" s="85">
        <f>SUM(S70:S75)</f>
        <v>0</v>
      </c>
      <c r="T77" s="61">
        <f>SUM(O77:S77)</f>
        <v>2060000</v>
      </c>
      <c r="U77" s="172">
        <f>SUM(U70:U75)</f>
        <v>0</v>
      </c>
      <c r="V77" s="174">
        <f t="shared" ref="V77:X77" si="69">SUM(V70:V75)</f>
        <v>860000</v>
      </c>
      <c r="W77" s="174">
        <f>SUM(W70:W75)</f>
        <v>1200000</v>
      </c>
      <c r="X77" s="175">
        <f t="shared" si="69"/>
        <v>0</v>
      </c>
    </row>
    <row r="78" spans="2:24" s="2" customFormat="1">
      <c r="C78" s="16"/>
      <c r="D78" s="9"/>
      <c r="E78" s="9"/>
      <c r="F78" s="9"/>
      <c r="G78" s="9"/>
      <c r="H78" s="9"/>
      <c r="I78" s="9"/>
      <c r="J78" s="5"/>
      <c r="K78" s="5"/>
      <c r="L78" s="5"/>
      <c r="M78" s="5"/>
      <c r="N78" s="4"/>
      <c r="O78" s="41"/>
      <c r="P78" s="41"/>
      <c r="Q78" s="41"/>
      <c r="R78" s="41"/>
      <c r="S78" s="41"/>
      <c r="T78" s="42"/>
      <c r="U78" s="42"/>
      <c r="V78" s="42"/>
      <c r="W78" s="42"/>
      <c r="X78" s="42"/>
    </row>
    <row r="79" spans="2:24">
      <c r="C79" s="16"/>
      <c r="D79" s="9"/>
      <c r="E79" s="9"/>
      <c r="F79" s="9"/>
      <c r="G79" s="9"/>
      <c r="H79" s="9"/>
      <c r="I79" s="9"/>
      <c r="J79" s="5"/>
      <c r="K79" s="5"/>
      <c r="L79" s="5"/>
      <c r="M79" s="5"/>
      <c r="N79" s="4"/>
      <c r="O79" s="41"/>
      <c r="P79" s="41"/>
      <c r="Q79" s="41"/>
      <c r="R79" s="41"/>
      <c r="S79" s="41"/>
      <c r="T79" s="42"/>
      <c r="U79" s="42"/>
      <c r="V79" s="42"/>
      <c r="W79" s="42"/>
      <c r="X79" s="42"/>
    </row>
    <row r="80" spans="2:24" ht="16" thickBot="1">
      <c r="C80" s="16"/>
      <c r="D80" s="9"/>
      <c r="E80" s="9"/>
      <c r="F80" s="9"/>
      <c r="G80" s="9"/>
      <c r="H80" s="9"/>
      <c r="I80" s="9"/>
      <c r="J80" s="5"/>
      <c r="K80" s="5"/>
      <c r="L80" s="5"/>
      <c r="M80" s="5"/>
      <c r="N80" s="4"/>
      <c r="O80" s="41"/>
      <c r="P80" s="41"/>
      <c r="Q80" s="41"/>
      <c r="R80" s="41"/>
      <c r="S80" s="41"/>
      <c r="T80" s="42"/>
      <c r="U80" s="42"/>
      <c r="V80" s="42"/>
      <c r="W80" s="42"/>
      <c r="X80" s="42"/>
    </row>
    <row r="81" spans="2:24" ht="33" thickBot="1">
      <c r="C81" s="91"/>
      <c r="D81" s="92"/>
      <c r="E81" s="92"/>
      <c r="F81" s="92"/>
      <c r="G81" s="92"/>
      <c r="H81" s="92"/>
      <c r="I81" s="92"/>
      <c r="J81" s="93"/>
      <c r="K81" s="93"/>
      <c r="L81" s="93"/>
      <c r="M81" s="93"/>
      <c r="N81" s="94"/>
      <c r="O81" s="100" t="s">
        <v>73</v>
      </c>
      <c r="P81" s="100" t="s">
        <v>47</v>
      </c>
      <c r="Q81" s="100" t="s">
        <v>74</v>
      </c>
      <c r="R81" s="100" t="s">
        <v>75</v>
      </c>
      <c r="S81" s="101" t="s">
        <v>76</v>
      </c>
      <c r="T81" s="105" t="s">
        <v>63</v>
      </c>
      <c r="U81" s="169"/>
      <c r="V81" s="169"/>
      <c r="W81" s="169"/>
      <c r="X81" s="169"/>
    </row>
    <row r="82" spans="2:24" s="45" customFormat="1" ht="16" thickBot="1">
      <c r="C82" s="95"/>
      <c r="D82" s="96"/>
      <c r="E82" s="96"/>
      <c r="F82" s="96"/>
      <c r="G82" s="96"/>
      <c r="H82" s="96"/>
      <c r="I82" s="96"/>
      <c r="J82" s="96"/>
      <c r="K82" s="96"/>
      <c r="L82" s="90"/>
      <c r="M82" s="97"/>
      <c r="N82" s="98" t="s">
        <v>110</v>
      </c>
      <c r="O82" s="102">
        <f>O77+O66+O15+O53+O36</f>
        <v>2914500</v>
      </c>
      <c r="P82" s="103">
        <f>P77+P66+P15+P53+P36</f>
        <v>8797500</v>
      </c>
      <c r="Q82" s="103">
        <f>Q77+Q66+Q15+Q53+Q36</f>
        <v>2412500</v>
      </c>
      <c r="R82" s="103">
        <f>R77+R66+R15+R53+R36</f>
        <v>552000</v>
      </c>
      <c r="S82" s="104">
        <f>S77+S66+S15+S53+S36</f>
        <v>252000</v>
      </c>
      <c r="T82" s="99">
        <f>SUM(O82:S82)</f>
        <v>14928500</v>
      </c>
      <c r="U82" s="172">
        <f>SUM(U77,U66,U15,U53,U36)</f>
        <v>800000</v>
      </c>
      <c r="V82" s="174">
        <f>SUM(V77,V66,V15,V53,V36)</f>
        <v>2610000</v>
      </c>
      <c r="W82" s="174">
        <f>SUM(W77,W66,W15,W53,W36)</f>
        <v>11518500</v>
      </c>
      <c r="X82" s="175">
        <f>SUM(X77,X66,X15,X53,X36)</f>
        <v>0</v>
      </c>
    </row>
    <row r="83" spans="2:24">
      <c r="C83" s="2"/>
      <c r="D83" s="2"/>
      <c r="E83" s="2"/>
      <c r="F83" s="2"/>
      <c r="G83" s="2"/>
      <c r="H83" s="2"/>
      <c r="I83" s="2"/>
      <c r="J83" s="5"/>
      <c r="K83" s="5"/>
      <c r="L83" s="5"/>
      <c r="M83" s="5"/>
      <c r="N83" s="4"/>
      <c r="O83" s="39"/>
      <c r="P83" s="39"/>
      <c r="Q83" s="39"/>
      <c r="R83" s="39"/>
      <c r="S83" s="39"/>
      <c r="T83" s="39"/>
      <c r="U83" s="39"/>
      <c r="V83" s="39"/>
      <c r="W83" s="39"/>
      <c r="X83" s="39"/>
    </row>
    <row r="84" spans="2:24" ht="16" thickBot="1">
      <c r="C84" s="2"/>
      <c r="D84" s="2"/>
      <c r="E84" s="2"/>
      <c r="F84" s="2"/>
      <c r="G84" s="2"/>
      <c r="H84" s="2"/>
      <c r="I84" s="2"/>
      <c r="J84" s="5"/>
      <c r="K84" s="5"/>
      <c r="L84" s="5"/>
      <c r="M84" s="5"/>
      <c r="N84" s="4"/>
      <c r="O84" s="39"/>
      <c r="P84" s="39"/>
      <c r="Q84" s="39"/>
      <c r="R84" s="39"/>
      <c r="S84" s="39"/>
      <c r="T84" s="39"/>
      <c r="U84" s="39"/>
      <c r="V84" s="39"/>
      <c r="W84" s="39"/>
      <c r="X84" s="39"/>
    </row>
    <row r="85" spans="2:24" s="71" customFormat="1" ht="32">
      <c r="C85" s="75" t="s">
        <v>100</v>
      </c>
      <c r="D85" s="74" t="s">
        <v>7</v>
      </c>
      <c r="E85" s="74"/>
      <c r="F85" s="74"/>
      <c r="G85" s="74" t="s">
        <v>33</v>
      </c>
      <c r="H85" s="72">
        <v>2021</v>
      </c>
      <c r="I85" s="72">
        <v>2022</v>
      </c>
      <c r="J85" s="72">
        <v>2023</v>
      </c>
      <c r="K85" s="72">
        <v>2024</v>
      </c>
      <c r="L85" s="72">
        <v>2025</v>
      </c>
      <c r="M85" s="69" t="s">
        <v>44</v>
      </c>
      <c r="N85" s="62" t="s">
        <v>45</v>
      </c>
      <c r="O85" s="73" t="s">
        <v>73</v>
      </c>
      <c r="P85" s="73" t="s">
        <v>47</v>
      </c>
      <c r="Q85" s="73" t="s">
        <v>74</v>
      </c>
      <c r="R85" s="143" t="s">
        <v>75</v>
      </c>
      <c r="S85" s="151" t="s">
        <v>76</v>
      </c>
      <c r="T85" s="176" t="s">
        <v>129</v>
      </c>
      <c r="U85" s="185"/>
      <c r="V85" s="186"/>
      <c r="W85" s="186"/>
      <c r="X85" s="187"/>
    </row>
    <row r="86" spans="2:24" ht="16">
      <c r="B86" s="231">
        <v>4.2</v>
      </c>
      <c r="C86" s="273" t="s">
        <v>56</v>
      </c>
      <c r="D86" s="65" t="s">
        <v>23</v>
      </c>
      <c r="E86" s="65" t="s">
        <v>126</v>
      </c>
      <c r="F86" s="66"/>
      <c r="G86" s="65" t="s">
        <v>39</v>
      </c>
      <c r="H86" s="149"/>
      <c r="I86" s="150"/>
      <c r="J86" s="150"/>
      <c r="K86" s="150"/>
      <c r="L86" s="150"/>
      <c r="M86" s="150">
        <f t="shared" ref="M86:M87" si="70">SUM(H86:K86)</f>
        <v>0</v>
      </c>
      <c r="N86" s="141">
        <v>7.0000000000000007E-2</v>
      </c>
      <c r="O86" s="48">
        <v>0</v>
      </c>
      <c r="P86" s="48">
        <f>ROUND($N86*O36+O86,-3)</f>
        <v>56000</v>
      </c>
      <c r="Q86" s="48">
        <f t="shared" ref="Q86:S86" si="71">ROUND($N86*P36+P86,-3)</f>
        <v>369000</v>
      </c>
      <c r="R86" s="48">
        <f t="shared" si="71"/>
        <v>421000</v>
      </c>
      <c r="S86" s="48">
        <f t="shared" si="71"/>
        <v>421000</v>
      </c>
      <c r="T86" s="165">
        <f t="shared" ref="T86:T87" si="72">SUM(O86:S86)</f>
        <v>1267000</v>
      </c>
      <c r="U86" s="180">
        <f t="shared" ref="U86:X87" si="73">IF($E86=U$2,$T86,0)</f>
        <v>0</v>
      </c>
      <c r="V86" s="173">
        <f t="shared" si="73"/>
        <v>0</v>
      </c>
      <c r="W86" s="173">
        <f t="shared" si="73"/>
        <v>0</v>
      </c>
      <c r="X86" s="181">
        <f t="shared" si="73"/>
        <v>1267000</v>
      </c>
    </row>
    <row r="87" spans="2:24" ht="17" thickBot="1">
      <c r="B87" s="231">
        <v>4.2</v>
      </c>
      <c r="C87" s="274"/>
      <c r="D87" s="67" t="s">
        <v>24</v>
      </c>
      <c r="E87" s="76" t="s">
        <v>313</v>
      </c>
      <c r="F87" s="68"/>
      <c r="G87" s="67" t="s">
        <v>39</v>
      </c>
      <c r="H87" s="152"/>
      <c r="I87" s="153"/>
      <c r="J87" s="153"/>
      <c r="K87" s="153"/>
      <c r="L87" s="153"/>
      <c r="M87" s="153">
        <f t="shared" si="70"/>
        <v>0</v>
      </c>
      <c r="N87" s="142">
        <v>7.0000000000000007E-2</v>
      </c>
      <c r="O87" s="49">
        <v>0</v>
      </c>
      <c r="P87" s="49">
        <f>ROUND($N87*O53+O87,-3)</f>
        <v>56000</v>
      </c>
      <c r="Q87" s="49">
        <f t="shared" ref="Q87:S87" si="74">ROUND($N87*P53+P87,-3)</f>
        <v>194000</v>
      </c>
      <c r="R87" s="49">
        <f t="shared" si="74"/>
        <v>203000</v>
      </c>
      <c r="S87" s="49">
        <f t="shared" si="74"/>
        <v>203000</v>
      </c>
      <c r="T87" s="166">
        <f t="shared" si="72"/>
        <v>656000</v>
      </c>
      <c r="U87" s="182">
        <f t="shared" si="73"/>
        <v>0</v>
      </c>
      <c r="V87" s="183">
        <f t="shared" si="73"/>
        <v>0</v>
      </c>
      <c r="W87" s="183">
        <f t="shared" si="73"/>
        <v>656000</v>
      </c>
      <c r="X87" s="184">
        <f t="shared" si="73"/>
        <v>0</v>
      </c>
    </row>
    <row r="88" spans="2:24" ht="16" thickBot="1">
      <c r="C88" s="16"/>
      <c r="D88" s="9"/>
      <c r="E88" s="9"/>
      <c r="F88" s="9"/>
      <c r="G88" s="9"/>
      <c r="H88" s="9"/>
      <c r="I88" s="9"/>
      <c r="J88" s="5"/>
      <c r="K88" s="5"/>
      <c r="L88" s="5"/>
      <c r="M88" s="5"/>
      <c r="N88" s="4"/>
      <c r="O88" s="39"/>
      <c r="P88" s="39"/>
      <c r="Q88" s="40"/>
      <c r="R88" s="40"/>
      <c r="S88" s="40"/>
      <c r="T88" s="41"/>
      <c r="U88" s="41"/>
      <c r="V88" s="41"/>
      <c r="W88" s="41"/>
      <c r="X88" s="41"/>
    </row>
    <row r="89" spans="2:24" s="45" customFormat="1" ht="16" thickBot="1">
      <c r="C89" s="47"/>
      <c r="D89" s="46"/>
      <c r="E89" s="46"/>
      <c r="F89" s="46"/>
      <c r="G89" s="46"/>
      <c r="H89" s="46"/>
      <c r="I89" s="46"/>
      <c r="J89" s="46"/>
      <c r="K89" s="46"/>
      <c r="L89" s="87"/>
      <c r="M89" s="88"/>
      <c r="N89" s="89" t="s">
        <v>111</v>
      </c>
      <c r="O89" s="83">
        <f>SUM(O86:O87)</f>
        <v>0</v>
      </c>
      <c r="P89" s="84">
        <f>SUM(P86:P87)</f>
        <v>112000</v>
      </c>
      <c r="Q89" s="84">
        <f>SUM(Q86:Q87)</f>
        <v>563000</v>
      </c>
      <c r="R89" s="84">
        <f>SUM(R86:R87)</f>
        <v>624000</v>
      </c>
      <c r="S89" s="85">
        <f>SUM(S86:S87)</f>
        <v>624000</v>
      </c>
      <c r="T89" s="61">
        <f>SUM(O89:S89)</f>
        <v>1923000</v>
      </c>
      <c r="U89" s="172">
        <f>SUM(U86:U87)</f>
        <v>0</v>
      </c>
      <c r="V89" s="174">
        <f t="shared" ref="V89:X89" si="75">SUM(V86:V87)</f>
        <v>0</v>
      </c>
      <c r="W89" s="174">
        <f t="shared" si="75"/>
        <v>656000</v>
      </c>
      <c r="X89" s="175">
        <f t="shared" si="75"/>
        <v>1267000</v>
      </c>
    </row>
    <row r="90" spans="2:24">
      <c r="C90" s="2"/>
      <c r="D90" s="2"/>
      <c r="E90" s="2"/>
      <c r="F90" s="2"/>
      <c r="G90" s="2"/>
      <c r="H90" s="2"/>
      <c r="I90" s="2"/>
      <c r="J90" s="5"/>
      <c r="K90" s="5"/>
      <c r="L90" s="5"/>
      <c r="M90" s="5"/>
      <c r="N90" s="4"/>
      <c r="O90" s="39"/>
      <c r="P90" s="39"/>
      <c r="Q90" s="39"/>
      <c r="R90" s="39"/>
      <c r="S90" s="39"/>
      <c r="T90" s="39"/>
      <c r="U90" s="39"/>
      <c r="V90" s="39"/>
      <c r="W90" s="39"/>
      <c r="X90" s="39"/>
    </row>
    <row r="91" spans="2:24" ht="16" thickBot="1">
      <c r="C91" s="2"/>
      <c r="D91" s="2"/>
      <c r="E91" s="2"/>
      <c r="F91" s="2"/>
      <c r="G91" s="2"/>
      <c r="H91" s="2"/>
      <c r="I91" s="2"/>
      <c r="J91" s="5"/>
      <c r="K91" s="5"/>
      <c r="L91" s="5"/>
      <c r="M91" s="5"/>
      <c r="N91" s="4"/>
      <c r="O91" s="39"/>
      <c r="P91" s="39"/>
      <c r="Q91" s="39"/>
      <c r="R91" s="39"/>
      <c r="S91" s="39"/>
      <c r="T91" s="39"/>
      <c r="U91" s="39"/>
      <c r="V91" s="39"/>
      <c r="W91" s="39"/>
      <c r="X91" s="39"/>
    </row>
    <row r="92" spans="2:24" ht="34" thickTop="1" thickBot="1">
      <c r="C92" s="91"/>
      <c r="D92" s="92"/>
      <c r="E92" s="92"/>
      <c r="F92" s="92"/>
      <c r="G92" s="92"/>
      <c r="H92" s="92"/>
      <c r="I92" s="92"/>
      <c r="J92" s="93"/>
      <c r="K92" s="93"/>
      <c r="L92" s="93"/>
      <c r="M92" s="93"/>
      <c r="N92" s="94"/>
      <c r="O92" s="43" t="s">
        <v>73</v>
      </c>
      <c r="P92" s="43" t="s">
        <v>47</v>
      </c>
      <c r="Q92" s="43" t="s">
        <v>74</v>
      </c>
      <c r="R92" s="43" t="s">
        <v>75</v>
      </c>
      <c r="S92" s="43" t="s">
        <v>76</v>
      </c>
      <c r="T92" s="86" t="s">
        <v>92</v>
      </c>
      <c r="U92" s="185"/>
      <c r="V92" s="186"/>
      <c r="W92" s="186"/>
      <c r="X92" s="187"/>
    </row>
    <row r="93" spans="2:24" s="45" customFormat="1" ht="17" thickTop="1" thickBot="1">
      <c r="C93" s="95"/>
      <c r="D93" s="96"/>
      <c r="E93" s="96"/>
      <c r="F93" s="96"/>
      <c r="G93" s="96"/>
      <c r="H93" s="96"/>
      <c r="I93" s="96"/>
      <c r="J93" s="96"/>
      <c r="K93" s="96"/>
      <c r="L93" s="90"/>
      <c r="M93" s="97"/>
      <c r="N93" s="98" t="s">
        <v>112</v>
      </c>
      <c r="O93" s="102">
        <f t="shared" ref="O93:S93" si="76">O89+O82</f>
        <v>2914500</v>
      </c>
      <c r="P93" s="103">
        <f t="shared" si="76"/>
        <v>8909500</v>
      </c>
      <c r="Q93" s="103">
        <f t="shared" si="76"/>
        <v>2975500</v>
      </c>
      <c r="R93" s="103">
        <f t="shared" si="76"/>
        <v>1176000</v>
      </c>
      <c r="S93" s="104">
        <f t="shared" si="76"/>
        <v>876000</v>
      </c>
      <c r="T93" s="86">
        <f>T89+T82</f>
        <v>16851500</v>
      </c>
      <c r="U93" s="172">
        <f t="shared" ref="U93:X93" si="77">U89+U82</f>
        <v>800000</v>
      </c>
      <c r="V93" s="174">
        <f t="shared" si="77"/>
        <v>2610000</v>
      </c>
      <c r="W93" s="174">
        <f t="shared" si="77"/>
        <v>12174500</v>
      </c>
      <c r="X93" s="175">
        <f t="shared" si="77"/>
        <v>1267000</v>
      </c>
    </row>
    <row r="94" spans="2:24" s="2" customFormat="1">
      <c r="C94" s="16"/>
      <c r="D94" s="9"/>
      <c r="E94" s="9"/>
      <c r="F94" s="9"/>
      <c r="G94" s="9"/>
      <c r="H94" s="9"/>
      <c r="I94" s="9"/>
      <c r="J94" s="5"/>
      <c r="K94" s="5"/>
      <c r="L94" s="5"/>
      <c r="M94" s="5"/>
      <c r="N94" s="4"/>
      <c r="O94" s="41"/>
      <c r="P94" s="41"/>
      <c r="Q94" s="41"/>
      <c r="R94" s="41"/>
      <c r="S94" s="41"/>
      <c r="T94" s="42"/>
      <c r="U94" s="42"/>
      <c r="V94" s="42"/>
      <c r="W94" s="42"/>
      <c r="X94" s="42"/>
    </row>
    <row r="95" spans="2:24" ht="16" thickBot="1">
      <c r="N95" s="11"/>
      <c r="O95" s="11"/>
      <c r="P95" s="11"/>
      <c r="Q95" s="11"/>
      <c r="R95" s="11"/>
      <c r="S95" s="11"/>
      <c r="T95" s="11"/>
      <c r="U95" s="11"/>
      <c r="V95" s="11"/>
      <c r="W95" s="11"/>
      <c r="X95" s="11"/>
    </row>
    <row r="96" spans="2:24" s="71" customFormat="1" ht="16">
      <c r="C96" s="75" t="s">
        <v>104</v>
      </c>
      <c r="D96" s="74" t="s">
        <v>7</v>
      </c>
      <c r="E96" s="74"/>
      <c r="F96" s="74"/>
      <c r="G96" s="74" t="s">
        <v>33</v>
      </c>
      <c r="H96" s="72">
        <v>2021</v>
      </c>
      <c r="I96" s="72">
        <v>2022</v>
      </c>
      <c r="J96" s="72">
        <v>2023</v>
      </c>
      <c r="K96" s="72">
        <v>2024</v>
      </c>
      <c r="L96" s="72">
        <v>2025</v>
      </c>
      <c r="M96" s="69"/>
      <c r="N96" s="62"/>
      <c r="O96" s="73">
        <v>2018</v>
      </c>
      <c r="P96" s="73">
        <v>2019</v>
      </c>
      <c r="Q96" s="73">
        <v>2020</v>
      </c>
      <c r="R96" s="73">
        <v>2021</v>
      </c>
      <c r="S96" s="73">
        <v>2022</v>
      </c>
      <c r="T96" s="70" t="s">
        <v>0</v>
      </c>
      <c r="U96" s="11"/>
      <c r="V96" s="11"/>
      <c r="W96" s="11"/>
      <c r="X96" s="11"/>
    </row>
    <row r="97" spans="3:24" ht="16">
      <c r="C97" s="273" t="s">
        <v>57</v>
      </c>
      <c r="D97" s="6" t="s">
        <v>58</v>
      </c>
      <c r="E97" s="6"/>
      <c r="F97" s="6"/>
      <c r="G97" s="6" t="s">
        <v>60</v>
      </c>
      <c r="H97" s="32"/>
      <c r="I97" s="33"/>
      <c r="J97" s="33"/>
      <c r="K97" s="33"/>
      <c r="L97" s="33"/>
      <c r="M97" s="29"/>
      <c r="N97" s="26"/>
      <c r="O97" s="26"/>
      <c r="P97" s="26"/>
      <c r="Q97" s="26"/>
      <c r="R97" s="26"/>
      <c r="S97" s="27"/>
      <c r="T97" s="34"/>
      <c r="U97" s="11"/>
      <c r="V97" s="11"/>
      <c r="W97" s="11"/>
      <c r="X97" s="11"/>
    </row>
    <row r="98" spans="3:24" ht="16">
      <c r="C98" s="273"/>
      <c r="D98" s="6" t="s">
        <v>59</v>
      </c>
      <c r="E98" s="6"/>
      <c r="F98" s="6"/>
      <c r="G98" s="6" t="s">
        <v>61</v>
      </c>
      <c r="H98" s="25"/>
      <c r="I98" s="25"/>
      <c r="J98" s="25"/>
      <c r="K98" s="25"/>
      <c r="L98" s="25"/>
      <c r="M98" s="30"/>
      <c r="N98" s="25"/>
      <c r="O98" s="10">
        <f>H97*H98</f>
        <v>0</v>
      </c>
      <c r="P98" s="10">
        <f t="shared" ref="P98:S98" si="78">I97*I98</f>
        <v>0</v>
      </c>
      <c r="Q98" s="10">
        <f t="shared" si="78"/>
        <v>0</v>
      </c>
      <c r="R98" s="10">
        <f t="shared" si="78"/>
        <v>0</v>
      </c>
      <c r="S98" s="10">
        <f t="shared" si="78"/>
        <v>0</v>
      </c>
      <c r="T98" s="21">
        <f t="shared" ref="T98" si="79">SUM(O98:S98)</f>
        <v>0</v>
      </c>
      <c r="U98" s="11"/>
      <c r="V98" s="11"/>
      <c r="W98" s="11"/>
      <c r="X98" s="11"/>
    </row>
    <row r="99" spans="3:24" ht="17" thickBot="1">
      <c r="C99" s="274"/>
      <c r="D99" s="17" t="s">
        <v>70</v>
      </c>
      <c r="E99" s="17"/>
      <c r="F99" s="17"/>
      <c r="G99" s="17" t="s">
        <v>62</v>
      </c>
      <c r="H99" s="28"/>
      <c r="I99" s="28"/>
      <c r="J99" s="28"/>
      <c r="K99" s="28"/>
      <c r="L99" s="28"/>
      <c r="M99" s="31"/>
      <c r="N99" s="28"/>
      <c r="O99" s="18">
        <f>H97*H99</f>
        <v>0</v>
      </c>
      <c r="P99" s="18">
        <f t="shared" ref="P99:S99" si="80">I97*I99</f>
        <v>0</v>
      </c>
      <c r="Q99" s="18">
        <f t="shared" si="80"/>
        <v>0</v>
      </c>
      <c r="R99" s="18">
        <f t="shared" si="80"/>
        <v>0</v>
      </c>
      <c r="S99" s="23">
        <f t="shared" si="80"/>
        <v>0</v>
      </c>
      <c r="T99" s="22">
        <f t="shared" ref="T99" si="81">SUM(O99:S99)</f>
        <v>0</v>
      </c>
      <c r="U99" s="11"/>
      <c r="V99" s="11"/>
      <c r="W99" s="11"/>
      <c r="X99" s="11"/>
    </row>
    <row r="100" spans="3:24" ht="16" thickBot="1">
      <c r="C100" s="8"/>
      <c r="D100" s="7"/>
      <c r="E100" s="7"/>
      <c r="F100" s="7"/>
      <c r="G100" s="7"/>
      <c r="H100" s="13"/>
      <c r="I100" s="13"/>
      <c r="J100" s="14"/>
      <c r="K100" s="14"/>
      <c r="L100" s="14"/>
      <c r="M100" s="11"/>
      <c r="N100" s="11"/>
      <c r="O100" s="11"/>
      <c r="P100" s="11"/>
      <c r="Q100" s="11"/>
      <c r="R100" s="11"/>
      <c r="S100" s="11"/>
      <c r="T100" s="24"/>
      <c r="U100" s="11"/>
      <c r="V100" s="11"/>
      <c r="W100" s="11"/>
      <c r="X100" s="11"/>
    </row>
    <row r="101" spans="3:24" ht="16" thickBot="1">
      <c r="L101" s="87"/>
      <c r="M101" s="88"/>
      <c r="N101" s="89" t="s">
        <v>113</v>
      </c>
      <c r="O101" s="35">
        <f>O99</f>
        <v>0</v>
      </c>
      <c r="P101" s="35">
        <f t="shared" ref="P101:S101" si="82">P99</f>
        <v>0</v>
      </c>
      <c r="Q101" s="35">
        <f t="shared" si="82"/>
        <v>0</v>
      </c>
      <c r="R101" s="35">
        <f t="shared" si="82"/>
        <v>0</v>
      </c>
      <c r="S101" s="35">
        <f t="shared" si="82"/>
        <v>0</v>
      </c>
      <c r="T101" s="15">
        <f>SUM(O101:S101)</f>
        <v>0</v>
      </c>
      <c r="U101" s="11"/>
      <c r="V101" s="11"/>
      <c r="W101" s="11"/>
      <c r="X101" s="11"/>
    </row>
    <row r="102" spans="3:24" ht="16" thickBot="1">
      <c r="U102" s="11"/>
      <c r="V102" s="11"/>
      <c r="W102" s="11"/>
      <c r="X102" s="11"/>
    </row>
    <row r="103" spans="3:24" ht="50" thickTop="1" thickBot="1">
      <c r="C103" s="106"/>
      <c r="D103" s="112" t="s">
        <v>114</v>
      </c>
      <c r="E103" s="107"/>
      <c r="F103" s="107"/>
      <c r="G103" s="107"/>
      <c r="H103" s="107"/>
      <c r="I103" s="107"/>
      <c r="J103" s="107"/>
      <c r="K103" s="107"/>
      <c r="L103" s="107"/>
      <c r="M103" s="107"/>
      <c r="N103" s="108"/>
      <c r="O103" s="19" t="s">
        <v>73</v>
      </c>
      <c r="P103" s="19" t="s">
        <v>47</v>
      </c>
      <c r="Q103" s="19" t="s">
        <v>74</v>
      </c>
      <c r="R103" s="19" t="s">
        <v>75</v>
      </c>
      <c r="S103" s="44" t="s">
        <v>76</v>
      </c>
      <c r="T103" s="20" t="s">
        <v>93</v>
      </c>
      <c r="U103" s="11"/>
      <c r="V103" s="11"/>
      <c r="W103" s="11"/>
      <c r="X103" s="11"/>
    </row>
    <row r="104" spans="3:24" s="45" customFormat="1" ht="16" thickBot="1">
      <c r="C104" s="109"/>
      <c r="D104" s="110"/>
      <c r="E104" s="110"/>
      <c r="F104" s="110"/>
      <c r="G104" s="110"/>
      <c r="H104" s="110"/>
      <c r="I104" s="110"/>
      <c r="J104" s="110"/>
      <c r="K104" s="110"/>
      <c r="L104" s="110"/>
      <c r="M104" s="110"/>
      <c r="N104" s="111"/>
      <c r="O104" s="83">
        <f>O89+O101</f>
        <v>0</v>
      </c>
      <c r="P104" s="84">
        <f>P89+P101</f>
        <v>112000</v>
      </c>
      <c r="Q104" s="84">
        <f>Q89+Q101</f>
        <v>563000</v>
      </c>
      <c r="R104" s="84">
        <f>R89+R101</f>
        <v>624000</v>
      </c>
      <c r="S104" s="85">
        <f>S89+S101</f>
        <v>624000</v>
      </c>
      <c r="T104" s="61">
        <f>S104</f>
        <v>624000</v>
      </c>
      <c r="U104" s="11"/>
      <c r="V104" s="11"/>
      <c r="W104" s="11"/>
      <c r="X104" s="11"/>
    </row>
    <row r="105" spans="3:24">
      <c r="Q105" s="271"/>
      <c r="R105" s="271"/>
      <c r="S105" s="121"/>
      <c r="U105" s="11"/>
      <c r="V105" s="11"/>
      <c r="W105" s="11"/>
      <c r="X105" s="11"/>
    </row>
    <row r="106" spans="3:24">
      <c r="Q106" s="272"/>
      <c r="R106" s="272"/>
      <c r="S106" s="121"/>
      <c r="U106" s="11"/>
      <c r="V106" s="11"/>
      <c r="W106" s="11"/>
      <c r="X106" s="11"/>
    </row>
    <row r="107" spans="3:24">
      <c r="U107" s="11"/>
      <c r="V107" s="11"/>
      <c r="W107" s="11"/>
      <c r="X107" s="11"/>
    </row>
    <row r="108" spans="3:24">
      <c r="U108" s="11"/>
      <c r="V108" s="11"/>
      <c r="W108" s="11"/>
      <c r="X108" s="11"/>
    </row>
    <row r="109" spans="3:24">
      <c r="U109" s="11"/>
      <c r="V109" s="11"/>
      <c r="W109" s="11"/>
      <c r="X109" s="11"/>
    </row>
    <row r="110" spans="3:24">
      <c r="U110" s="11"/>
      <c r="V110" s="11"/>
      <c r="W110" s="11"/>
      <c r="X110" s="11"/>
    </row>
    <row r="111" spans="3:24">
      <c r="U111" s="11"/>
      <c r="V111" s="11"/>
      <c r="W111" s="11"/>
      <c r="X111" s="11"/>
    </row>
    <row r="112" spans="3:24">
      <c r="U112" s="11"/>
      <c r="V112" s="11"/>
      <c r="W112" s="11"/>
      <c r="X112" s="11"/>
    </row>
    <row r="113" spans="21:24">
      <c r="U113" s="11"/>
      <c r="V113" s="11"/>
      <c r="W113" s="11"/>
      <c r="X113" s="11"/>
    </row>
  </sheetData>
  <mergeCells count="8">
    <mergeCell ref="Q105:R106"/>
    <mergeCell ref="C86:C87"/>
    <mergeCell ref="C97:C99"/>
    <mergeCell ref="C18:C34"/>
    <mergeCell ref="C4:C13"/>
    <mergeCell ref="C40:C51"/>
    <mergeCell ref="C70:C75"/>
    <mergeCell ref="C58:C64"/>
  </mergeCells>
  <phoneticPr fontId="8" type="noConversion"/>
  <pageMargins left="0.7" right="0.7" top="0.75" bottom="0.75" header="0.3" footer="0.3"/>
  <pageSetup paperSize="8" scale="51"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24308-7620-407A-B45D-ABAE03CAF390}">
  <dimension ref="B1:X105"/>
  <sheetViews>
    <sheetView zoomScale="80" zoomScaleNormal="80" workbookViewId="0">
      <selection activeCell="U3" sqref="U3:X3"/>
    </sheetView>
  </sheetViews>
  <sheetFormatPr baseColWidth="10" defaultColWidth="11.5" defaultRowHeight="15"/>
  <cols>
    <col min="1" max="1" width="4" style="1" customWidth="1"/>
    <col min="2" max="2" width="6.33203125" style="1" customWidth="1"/>
    <col min="3" max="3" width="17.6640625" style="1" customWidth="1"/>
    <col min="4" max="4" width="47.83203125" style="1" customWidth="1"/>
    <col min="5" max="5" width="10" style="1" customWidth="1"/>
    <col min="6" max="6" width="11" style="1" customWidth="1"/>
    <col min="7" max="7" width="21.6640625" style="1" customWidth="1"/>
    <col min="8" max="8" width="7.5" style="1" customWidth="1"/>
    <col min="9" max="12" width="7.33203125" style="1" customWidth="1"/>
    <col min="13" max="13" width="14.33203125" style="1" customWidth="1"/>
    <col min="14" max="14" width="13.5" style="1" customWidth="1"/>
    <col min="15" max="24" width="12.83203125" style="1" customWidth="1"/>
    <col min="25" max="16384" width="11.5" style="1"/>
  </cols>
  <sheetData>
    <row r="1" spans="2:24">
      <c r="C1" s="9"/>
      <c r="D1" s="9"/>
      <c r="E1" s="9"/>
      <c r="F1" s="9"/>
      <c r="G1" s="9"/>
      <c r="H1" s="9"/>
      <c r="I1" s="9"/>
      <c r="J1" s="9"/>
      <c r="K1" s="9"/>
      <c r="L1" s="9"/>
      <c r="M1" s="9"/>
      <c r="N1" s="9"/>
      <c r="O1" s="3"/>
      <c r="P1" s="3"/>
      <c r="Q1" s="3"/>
      <c r="R1" s="3"/>
      <c r="S1" s="3"/>
      <c r="T1" s="12"/>
      <c r="U1" s="12"/>
      <c r="V1" s="12"/>
      <c r="W1" s="12"/>
      <c r="X1" s="12"/>
    </row>
    <row r="3" spans="2:24" ht="16" thickBot="1">
      <c r="H3" s="53" t="s">
        <v>96</v>
      </c>
      <c r="I3" s="50"/>
      <c r="J3" s="50"/>
      <c r="K3" s="50"/>
      <c r="L3" s="50"/>
      <c r="M3" s="54"/>
      <c r="N3" s="55"/>
      <c r="O3" s="58" t="s">
        <v>95</v>
      </c>
      <c r="P3" s="58" t="s">
        <v>95</v>
      </c>
      <c r="Q3" s="58" t="s">
        <v>95</v>
      </c>
      <c r="R3" s="58" t="s">
        <v>95</v>
      </c>
      <c r="S3" s="58" t="s">
        <v>95</v>
      </c>
      <c r="T3" s="58" t="s">
        <v>95</v>
      </c>
      <c r="U3" s="171" t="s">
        <v>94</v>
      </c>
      <c r="V3" s="171" t="s">
        <v>312</v>
      </c>
      <c r="W3" s="171" t="s">
        <v>313</v>
      </c>
      <c r="X3" s="171" t="s">
        <v>126</v>
      </c>
    </row>
    <row r="4" spans="2:24" s="71" customFormat="1" ht="48">
      <c r="C4" s="75" t="s">
        <v>99</v>
      </c>
      <c r="D4" s="74" t="s">
        <v>7</v>
      </c>
      <c r="E4" s="74" t="str">
        <f>E18</f>
        <v>Fin.
AFD, EU, GCF, GVNT</v>
      </c>
      <c r="F4" s="74" t="str">
        <f>F18</f>
        <v>Durée de vie (an)</v>
      </c>
      <c r="G4" s="74" t="s">
        <v>33</v>
      </c>
      <c r="H4" s="72">
        <v>2021</v>
      </c>
      <c r="I4" s="72">
        <v>2022</v>
      </c>
      <c r="J4" s="72">
        <v>2023</v>
      </c>
      <c r="K4" s="72">
        <v>2024</v>
      </c>
      <c r="L4" s="72">
        <v>2025</v>
      </c>
      <c r="M4" s="69" t="s">
        <v>44</v>
      </c>
      <c r="N4" s="62" t="s">
        <v>45</v>
      </c>
      <c r="O4" s="73" t="s">
        <v>9</v>
      </c>
      <c r="P4" s="73" t="s">
        <v>10</v>
      </c>
      <c r="Q4" s="73" t="s">
        <v>11</v>
      </c>
      <c r="R4" s="73" t="s">
        <v>12</v>
      </c>
      <c r="S4" s="73" t="s">
        <v>47</v>
      </c>
      <c r="T4" s="176" t="s">
        <v>8</v>
      </c>
      <c r="U4" s="185"/>
      <c r="V4" s="186"/>
      <c r="W4" s="186"/>
      <c r="X4" s="187"/>
    </row>
    <row r="5" spans="2:24" ht="16">
      <c r="B5" s="1" t="s">
        <v>220</v>
      </c>
      <c r="C5" s="273"/>
      <c r="D5" s="65" t="s">
        <v>217</v>
      </c>
      <c r="E5" s="65" t="s">
        <v>313</v>
      </c>
      <c r="F5" s="66"/>
      <c r="G5" s="65" t="s">
        <v>39</v>
      </c>
      <c r="H5" s="51">
        <v>1</v>
      </c>
      <c r="I5" s="51"/>
      <c r="J5" s="51"/>
      <c r="K5" s="51"/>
      <c r="L5" s="51"/>
      <c r="M5" s="56">
        <f t="shared" ref="M5:M8" si="0">SUM(H5:K5)</f>
        <v>1</v>
      </c>
      <c r="N5" s="63">
        <v>150000</v>
      </c>
      <c r="O5" s="48">
        <f>H5*$N5</f>
        <v>150000</v>
      </c>
      <c r="P5" s="48">
        <f>I5*$N5</f>
        <v>0</v>
      </c>
      <c r="Q5" s="48">
        <f>J5*$N5</f>
        <v>0</v>
      </c>
      <c r="R5" s="48">
        <f>K5*$N5</f>
        <v>0</v>
      </c>
      <c r="S5" s="48">
        <f>L5*$N5</f>
        <v>0</v>
      </c>
      <c r="T5" s="165">
        <f t="shared" ref="T5:T14" si="1">SUM(O5:S5)</f>
        <v>150000</v>
      </c>
      <c r="U5" s="180">
        <f>IF($E5=U$3,$T5,0)</f>
        <v>0</v>
      </c>
      <c r="V5" s="173">
        <f t="shared" ref="V5:X14" si="2">IF($E5=V$3,$T5,0)</f>
        <v>0</v>
      </c>
      <c r="W5" s="173">
        <f t="shared" si="2"/>
        <v>150000</v>
      </c>
      <c r="X5" s="181">
        <f t="shared" si="2"/>
        <v>0</v>
      </c>
    </row>
    <row r="6" spans="2:24" ht="16">
      <c r="B6" s="1" t="s">
        <v>214</v>
      </c>
      <c r="C6" s="273"/>
      <c r="D6" s="65" t="s">
        <v>21</v>
      </c>
      <c r="E6" s="65" t="s">
        <v>313</v>
      </c>
      <c r="F6" s="66"/>
      <c r="G6" s="65" t="s">
        <v>39</v>
      </c>
      <c r="H6" s="149"/>
      <c r="I6" s="150"/>
      <c r="J6" s="150"/>
      <c r="K6" s="150"/>
      <c r="L6" s="150"/>
      <c r="M6" s="150"/>
      <c r="N6" s="141">
        <v>0.05</v>
      </c>
      <c r="O6" s="48">
        <f>ROUND($N6*O54,-3)</f>
        <v>40000</v>
      </c>
      <c r="P6" s="48">
        <f t="shared" ref="P6:S6" si="3">ROUND($N6*P54,-3)</f>
        <v>98000</v>
      </c>
      <c r="Q6" s="48">
        <f t="shared" si="3"/>
        <v>8000</v>
      </c>
      <c r="R6" s="48">
        <f t="shared" si="3"/>
        <v>0</v>
      </c>
      <c r="S6" s="48">
        <f t="shared" si="3"/>
        <v>0</v>
      </c>
      <c r="T6" s="165">
        <f t="shared" si="1"/>
        <v>146000</v>
      </c>
      <c r="U6" s="180">
        <f t="shared" ref="U6:U14" si="4">IF($E6=U$3,$T6,0)</f>
        <v>0</v>
      </c>
      <c r="V6" s="173">
        <f t="shared" si="2"/>
        <v>0</v>
      </c>
      <c r="W6" s="173">
        <f t="shared" si="2"/>
        <v>146000</v>
      </c>
      <c r="X6" s="181">
        <f t="shared" si="2"/>
        <v>0</v>
      </c>
    </row>
    <row r="7" spans="2:24" ht="16">
      <c r="B7" s="1" t="s">
        <v>214</v>
      </c>
      <c r="C7" s="273"/>
      <c r="D7" s="65" t="s">
        <v>22</v>
      </c>
      <c r="E7" s="65" t="s">
        <v>313</v>
      </c>
      <c r="F7" s="66"/>
      <c r="G7" s="65" t="s">
        <v>39</v>
      </c>
      <c r="H7" s="149"/>
      <c r="I7" s="150"/>
      <c r="J7" s="150"/>
      <c r="K7" s="150"/>
      <c r="L7" s="150"/>
      <c r="M7" s="150"/>
      <c r="N7" s="141">
        <v>0.05</v>
      </c>
      <c r="O7" s="48">
        <f>ROUND($N7*O37,-3)</f>
        <v>27000</v>
      </c>
      <c r="P7" s="48">
        <f t="shared" ref="P7:S7" si="5">ROUND($N7*P37,-3)</f>
        <v>190000</v>
      </c>
      <c r="Q7" s="48">
        <f t="shared" si="5"/>
        <v>20000</v>
      </c>
      <c r="R7" s="48">
        <f t="shared" si="5"/>
        <v>11000</v>
      </c>
      <c r="S7" s="48">
        <f t="shared" si="5"/>
        <v>11000</v>
      </c>
      <c r="T7" s="165">
        <f t="shared" si="1"/>
        <v>259000</v>
      </c>
      <c r="U7" s="180">
        <f t="shared" si="4"/>
        <v>0</v>
      </c>
      <c r="V7" s="173">
        <f t="shared" si="2"/>
        <v>0</v>
      </c>
      <c r="W7" s="173">
        <f t="shared" si="2"/>
        <v>259000</v>
      </c>
      <c r="X7" s="181">
        <f t="shared" si="2"/>
        <v>0</v>
      </c>
    </row>
    <row r="8" spans="2:24" ht="32">
      <c r="B8" s="1" t="s">
        <v>221</v>
      </c>
      <c r="C8" s="273"/>
      <c r="D8" s="65" t="s">
        <v>216</v>
      </c>
      <c r="E8" s="65" t="s">
        <v>313</v>
      </c>
      <c r="F8" s="66"/>
      <c r="G8" s="65" t="s">
        <v>39</v>
      </c>
      <c r="H8" s="51">
        <v>1</v>
      </c>
      <c r="I8" s="51"/>
      <c r="J8" s="51"/>
      <c r="K8" s="51"/>
      <c r="L8" s="51"/>
      <c r="M8" s="56">
        <f t="shared" si="0"/>
        <v>1</v>
      </c>
      <c r="N8" s="63">
        <v>100000</v>
      </c>
      <c r="O8" s="48">
        <f t="shared" ref="O8:S11" si="6">H8*$N8</f>
        <v>100000</v>
      </c>
      <c r="P8" s="48">
        <f t="shared" si="6"/>
        <v>0</v>
      </c>
      <c r="Q8" s="48">
        <f t="shared" si="6"/>
        <v>0</v>
      </c>
      <c r="R8" s="48">
        <f t="shared" si="6"/>
        <v>0</v>
      </c>
      <c r="S8" s="48">
        <f t="shared" si="6"/>
        <v>0</v>
      </c>
      <c r="T8" s="165">
        <f t="shared" si="1"/>
        <v>100000</v>
      </c>
      <c r="U8" s="180">
        <f t="shared" si="4"/>
        <v>0</v>
      </c>
      <c r="V8" s="173">
        <f t="shared" si="2"/>
        <v>0</v>
      </c>
      <c r="W8" s="173">
        <f t="shared" si="2"/>
        <v>100000</v>
      </c>
      <c r="X8" s="181">
        <f t="shared" si="2"/>
        <v>0</v>
      </c>
    </row>
    <row r="9" spans="2:24" ht="16">
      <c r="B9" s="1" t="s">
        <v>222</v>
      </c>
      <c r="C9" s="273"/>
      <c r="D9" s="76" t="s">
        <v>218</v>
      </c>
      <c r="E9" s="65" t="s">
        <v>313</v>
      </c>
      <c r="F9" s="77"/>
      <c r="G9" s="65" t="s">
        <v>39</v>
      </c>
      <c r="H9" s="51"/>
      <c r="I9" s="51">
        <v>1</v>
      </c>
      <c r="J9" s="51"/>
      <c r="K9" s="51"/>
      <c r="L9" s="51"/>
      <c r="M9" s="56">
        <f>SUM(H9:L9)</f>
        <v>1</v>
      </c>
      <c r="N9" s="80">
        <v>50000</v>
      </c>
      <c r="O9" s="81">
        <f t="shared" si="6"/>
        <v>0</v>
      </c>
      <c r="P9" s="81">
        <f t="shared" si="6"/>
        <v>50000</v>
      </c>
      <c r="Q9" s="81">
        <f t="shared" si="6"/>
        <v>0</v>
      </c>
      <c r="R9" s="81">
        <f t="shared" si="6"/>
        <v>0</v>
      </c>
      <c r="S9" s="81">
        <f t="shared" si="6"/>
        <v>0</v>
      </c>
      <c r="T9" s="168">
        <f t="shared" si="1"/>
        <v>50000</v>
      </c>
      <c r="U9" s="180">
        <f t="shared" si="4"/>
        <v>0</v>
      </c>
      <c r="V9" s="173">
        <f t="shared" si="2"/>
        <v>0</v>
      </c>
      <c r="W9" s="173">
        <f t="shared" si="2"/>
        <v>50000</v>
      </c>
      <c r="X9" s="181">
        <f t="shared" si="2"/>
        <v>0</v>
      </c>
    </row>
    <row r="10" spans="2:24" ht="16">
      <c r="B10" s="1" t="s">
        <v>223</v>
      </c>
      <c r="C10" s="273"/>
      <c r="D10" s="65" t="s">
        <v>219</v>
      </c>
      <c r="E10" s="65" t="s">
        <v>313</v>
      </c>
      <c r="F10" s="66"/>
      <c r="G10" s="65" t="s">
        <v>39</v>
      </c>
      <c r="H10" s="51"/>
      <c r="I10" s="51"/>
      <c r="J10" s="51">
        <v>1</v>
      </c>
      <c r="K10" s="51"/>
      <c r="L10" s="51"/>
      <c r="M10" s="56">
        <f t="shared" ref="M10" si="7">SUM(H10:K10)</f>
        <v>1</v>
      </c>
      <c r="N10" s="63">
        <v>50000</v>
      </c>
      <c r="O10" s="48">
        <f t="shared" si="6"/>
        <v>0</v>
      </c>
      <c r="P10" s="48">
        <f t="shared" si="6"/>
        <v>0</v>
      </c>
      <c r="Q10" s="48">
        <f t="shared" si="6"/>
        <v>50000</v>
      </c>
      <c r="R10" s="48">
        <f t="shared" si="6"/>
        <v>0</v>
      </c>
      <c r="S10" s="48">
        <f t="shared" si="6"/>
        <v>0</v>
      </c>
      <c r="T10" s="165">
        <f t="shared" si="1"/>
        <v>50000</v>
      </c>
      <c r="U10" s="180">
        <f t="shared" si="4"/>
        <v>0</v>
      </c>
      <c r="V10" s="173">
        <f t="shared" si="2"/>
        <v>0</v>
      </c>
      <c r="W10" s="173">
        <f t="shared" si="2"/>
        <v>50000</v>
      </c>
      <c r="X10" s="181">
        <f t="shared" si="2"/>
        <v>0</v>
      </c>
    </row>
    <row r="11" spans="2:24" ht="16">
      <c r="B11" s="1" t="s">
        <v>224</v>
      </c>
      <c r="C11" s="273"/>
      <c r="D11" s="76" t="s">
        <v>225</v>
      </c>
      <c r="E11" s="65" t="s">
        <v>313</v>
      </c>
      <c r="F11" s="77"/>
      <c r="G11" s="65" t="s">
        <v>39</v>
      </c>
      <c r="H11" s="51"/>
      <c r="I11" s="51">
        <v>1</v>
      </c>
      <c r="J11" s="51"/>
      <c r="K11" s="51"/>
      <c r="L11" s="51"/>
      <c r="M11" s="56">
        <f>SUM(H11:L11)</f>
        <v>1</v>
      </c>
      <c r="N11" s="80">
        <v>100000</v>
      </c>
      <c r="O11" s="81">
        <f t="shared" si="6"/>
        <v>0</v>
      </c>
      <c r="P11" s="81">
        <f t="shared" si="6"/>
        <v>100000</v>
      </c>
      <c r="Q11" s="81">
        <f t="shared" si="6"/>
        <v>0</v>
      </c>
      <c r="R11" s="81">
        <f t="shared" si="6"/>
        <v>0</v>
      </c>
      <c r="S11" s="81">
        <f t="shared" si="6"/>
        <v>0</v>
      </c>
      <c r="T11" s="168">
        <f t="shared" si="1"/>
        <v>100000</v>
      </c>
      <c r="U11" s="180">
        <f t="shared" si="4"/>
        <v>0</v>
      </c>
      <c r="V11" s="173">
        <f t="shared" si="2"/>
        <v>0</v>
      </c>
      <c r="W11" s="173">
        <f t="shared" si="2"/>
        <v>100000</v>
      </c>
      <c r="X11" s="181">
        <f t="shared" si="2"/>
        <v>0</v>
      </c>
    </row>
    <row r="12" spans="2:24" ht="16">
      <c r="B12" s="1" t="s">
        <v>224</v>
      </c>
      <c r="C12" s="273"/>
      <c r="D12" s="76" t="s">
        <v>259</v>
      </c>
      <c r="E12" s="65" t="s">
        <v>313</v>
      </c>
      <c r="F12" s="77"/>
      <c r="G12" s="65" t="s">
        <v>39</v>
      </c>
      <c r="H12" s="51"/>
      <c r="I12" s="51">
        <v>1</v>
      </c>
      <c r="J12" s="51"/>
      <c r="K12" s="51"/>
      <c r="L12" s="51"/>
      <c r="M12" s="56">
        <f>SUM(H12:L12)</f>
        <v>1</v>
      </c>
      <c r="N12" s="80">
        <v>50000</v>
      </c>
      <c r="O12" s="81">
        <f t="shared" ref="O12" si="8">H12*$N12</f>
        <v>0</v>
      </c>
      <c r="P12" s="81">
        <f t="shared" ref="P12" si="9">I12*$N12</f>
        <v>50000</v>
      </c>
      <c r="Q12" s="81">
        <f t="shared" ref="Q12" si="10">J12*$N12</f>
        <v>0</v>
      </c>
      <c r="R12" s="81">
        <f t="shared" ref="R12" si="11">K12*$N12</f>
        <v>0</v>
      </c>
      <c r="S12" s="81">
        <f t="shared" ref="S12" si="12">L12*$N12</f>
        <v>0</v>
      </c>
      <c r="T12" s="168">
        <f t="shared" ref="T12" si="13">SUM(O12:S12)</f>
        <v>50000</v>
      </c>
      <c r="U12" s="180">
        <f t="shared" si="4"/>
        <v>0</v>
      </c>
      <c r="V12" s="173">
        <f t="shared" si="2"/>
        <v>0</v>
      </c>
      <c r="W12" s="173">
        <f t="shared" si="2"/>
        <v>50000</v>
      </c>
      <c r="X12" s="181">
        <f t="shared" si="2"/>
        <v>0</v>
      </c>
    </row>
    <row r="13" spans="2:24" ht="32">
      <c r="B13" s="1" t="s">
        <v>213</v>
      </c>
      <c r="C13" s="273"/>
      <c r="D13" s="76" t="s">
        <v>79</v>
      </c>
      <c r="E13" s="65" t="s">
        <v>313</v>
      </c>
      <c r="F13" s="77"/>
      <c r="G13" s="76" t="s">
        <v>1</v>
      </c>
      <c r="H13" s="51">
        <v>3</v>
      </c>
      <c r="I13" s="51">
        <v>3</v>
      </c>
      <c r="J13" s="51">
        <v>3</v>
      </c>
      <c r="K13" s="51">
        <v>3</v>
      </c>
      <c r="L13" s="51">
        <v>3</v>
      </c>
      <c r="M13" s="56">
        <f>SUM(H13:L13)</f>
        <v>15</v>
      </c>
      <c r="N13" s="80">
        <v>24000</v>
      </c>
      <c r="O13" s="81">
        <f t="shared" ref="O13:S14" si="14">H13*$N13</f>
        <v>72000</v>
      </c>
      <c r="P13" s="81">
        <f t="shared" si="14"/>
        <v>72000</v>
      </c>
      <c r="Q13" s="81">
        <f t="shared" si="14"/>
        <v>72000</v>
      </c>
      <c r="R13" s="81">
        <f t="shared" si="14"/>
        <v>72000</v>
      </c>
      <c r="S13" s="81">
        <f t="shared" si="14"/>
        <v>72000</v>
      </c>
      <c r="T13" s="168">
        <f t="shared" si="1"/>
        <v>360000</v>
      </c>
      <c r="U13" s="180">
        <f t="shared" si="4"/>
        <v>0</v>
      </c>
      <c r="V13" s="173">
        <f t="shared" si="2"/>
        <v>0</v>
      </c>
      <c r="W13" s="173">
        <f t="shared" si="2"/>
        <v>360000</v>
      </c>
      <c r="X13" s="181">
        <f t="shared" si="2"/>
        <v>0</v>
      </c>
    </row>
    <row r="14" spans="2:24" ht="48" customHeight="1" thickBot="1">
      <c r="B14" s="1" t="s">
        <v>212</v>
      </c>
      <c r="C14" s="274"/>
      <c r="D14" s="67" t="s">
        <v>68</v>
      </c>
      <c r="E14" s="65" t="s">
        <v>313</v>
      </c>
      <c r="F14" s="68"/>
      <c r="G14" s="67" t="s">
        <v>1</v>
      </c>
      <c r="H14" s="52">
        <v>3</v>
      </c>
      <c r="I14" s="52">
        <v>3</v>
      </c>
      <c r="J14" s="52">
        <v>3</v>
      </c>
      <c r="K14" s="52">
        <v>3</v>
      </c>
      <c r="L14" s="52">
        <v>3</v>
      </c>
      <c r="M14" s="57">
        <f>SUM(H14:L14)</f>
        <v>15</v>
      </c>
      <c r="N14" s="64">
        <v>60000</v>
      </c>
      <c r="O14" s="49">
        <f t="shared" si="14"/>
        <v>180000</v>
      </c>
      <c r="P14" s="49">
        <f t="shared" si="14"/>
        <v>180000</v>
      </c>
      <c r="Q14" s="49">
        <f t="shared" si="14"/>
        <v>180000</v>
      </c>
      <c r="R14" s="49">
        <f t="shared" si="14"/>
        <v>180000</v>
      </c>
      <c r="S14" s="49">
        <f t="shared" si="14"/>
        <v>180000</v>
      </c>
      <c r="T14" s="166">
        <f t="shared" si="1"/>
        <v>900000</v>
      </c>
      <c r="U14" s="182">
        <f t="shared" si="4"/>
        <v>0</v>
      </c>
      <c r="V14" s="183">
        <f t="shared" si="2"/>
        <v>0</v>
      </c>
      <c r="W14" s="183">
        <f t="shared" si="2"/>
        <v>900000</v>
      </c>
      <c r="X14" s="184">
        <f t="shared" si="2"/>
        <v>0</v>
      </c>
    </row>
    <row r="15" spans="2:24" ht="16" thickBot="1">
      <c r="C15" s="16"/>
      <c r="D15" s="9"/>
      <c r="E15" s="9"/>
      <c r="F15" s="9"/>
      <c r="G15" s="9"/>
      <c r="H15" s="9"/>
      <c r="I15" s="9"/>
      <c r="J15" s="5"/>
      <c r="K15" s="5"/>
      <c r="L15" s="5"/>
      <c r="M15" s="5"/>
      <c r="N15" s="4"/>
      <c r="O15" s="39"/>
      <c r="P15" s="39"/>
      <c r="Q15" s="40"/>
      <c r="R15" s="40"/>
      <c r="S15" s="40"/>
      <c r="T15" s="41"/>
      <c r="U15" s="41"/>
      <c r="V15" s="41"/>
      <c r="W15" s="41"/>
      <c r="X15" s="41"/>
    </row>
    <row r="16" spans="2:24" s="45" customFormat="1" ht="16" thickBot="1">
      <c r="C16" s="47"/>
      <c r="D16" s="46"/>
      <c r="E16" s="46"/>
      <c r="F16" s="46"/>
      <c r="G16" s="46"/>
      <c r="H16" s="46"/>
      <c r="I16" s="46"/>
      <c r="J16" s="46"/>
      <c r="K16" s="46"/>
      <c r="L16" s="87"/>
      <c r="M16" s="88"/>
      <c r="N16" s="89" t="s">
        <v>107</v>
      </c>
      <c r="O16" s="83">
        <f>SUM(O5:O14)</f>
        <v>569000</v>
      </c>
      <c r="P16" s="84">
        <f>SUM(P5:P14)</f>
        <v>740000</v>
      </c>
      <c r="Q16" s="84">
        <f>SUM(Q5:Q14)</f>
        <v>330000</v>
      </c>
      <c r="R16" s="84">
        <f>SUM(R5:R14)</f>
        <v>263000</v>
      </c>
      <c r="S16" s="85">
        <f>SUM(S5:S14)</f>
        <v>263000</v>
      </c>
      <c r="T16" s="61">
        <f>SUM(O16:S16)</f>
        <v>2165000</v>
      </c>
      <c r="U16" s="172">
        <f>SUM(U5:U14)</f>
        <v>0</v>
      </c>
      <c r="V16" s="174">
        <f>SUM(V5:V14)</f>
        <v>0</v>
      </c>
      <c r="W16" s="174">
        <f>SUM(W5:W14)</f>
        <v>2165000</v>
      </c>
      <c r="X16" s="175">
        <f>SUM(X5:X14)</f>
        <v>0</v>
      </c>
    </row>
    <row r="17" spans="2:24" s="2" customFormat="1" ht="16" thickBot="1">
      <c r="C17" s="16"/>
      <c r="D17" s="9"/>
      <c r="E17" s="9"/>
      <c r="F17" s="9"/>
      <c r="G17" s="9"/>
      <c r="H17" s="9"/>
      <c r="I17" s="9"/>
      <c r="J17" s="5"/>
      <c r="K17" s="5"/>
      <c r="L17" s="5"/>
      <c r="M17" s="5"/>
      <c r="N17" s="4"/>
      <c r="O17" s="41"/>
      <c r="P17" s="41"/>
      <c r="Q17" s="41"/>
      <c r="R17" s="41"/>
      <c r="S17" s="41"/>
      <c r="T17" s="42"/>
      <c r="U17" s="42"/>
      <c r="V17" s="42"/>
      <c r="W17" s="42"/>
      <c r="X17" s="42"/>
    </row>
    <row r="18" spans="2:24" s="71" customFormat="1" ht="48">
      <c r="C18" s="75" t="s">
        <v>100</v>
      </c>
      <c r="D18" s="74" t="s">
        <v>7</v>
      </c>
      <c r="E18" s="74" t="s">
        <v>97</v>
      </c>
      <c r="F18" s="74" t="s">
        <v>98</v>
      </c>
      <c r="G18" s="74" t="s">
        <v>33</v>
      </c>
      <c r="H18" s="72">
        <v>2021</v>
      </c>
      <c r="I18" s="72">
        <v>2022</v>
      </c>
      <c r="J18" s="72">
        <v>2023</v>
      </c>
      <c r="K18" s="72">
        <v>2024</v>
      </c>
      <c r="L18" s="72">
        <v>2025</v>
      </c>
      <c r="M18" s="69" t="s">
        <v>44</v>
      </c>
      <c r="N18" s="62" t="s">
        <v>45</v>
      </c>
      <c r="O18" s="73" t="s">
        <v>73</v>
      </c>
      <c r="P18" s="73" t="s">
        <v>47</v>
      </c>
      <c r="Q18" s="73" t="s">
        <v>74</v>
      </c>
      <c r="R18" s="73" t="s">
        <v>75</v>
      </c>
      <c r="S18" s="143" t="s">
        <v>76</v>
      </c>
      <c r="T18" s="176" t="s">
        <v>4</v>
      </c>
      <c r="U18" s="178"/>
      <c r="V18" s="170"/>
      <c r="W18" s="170"/>
      <c r="X18" s="179"/>
    </row>
    <row r="19" spans="2:24" s="45" customFormat="1" ht="16">
      <c r="B19" s="232" t="s">
        <v>205</v>
      </c>
      <c r="C19" s="275" t="s">
        <v>17</v>
      </c>
      <c r="D19" s="65" t="s">
        <v>77</v>
      </c>
      <c r="E19" s="65"/>
      <c r="F19" s="66"/>
      <c r="G19" s="65" t="s">
        <v>34</v>
      </c>
      <c r="H19" s="51"/>
      <c r="I19" s="51"/>
      <c r="J19" s="51"/>
      <c r="K19" s="51"/>
      <c r="L19" s="51"/>
      <c r="M19" s="56">
        <f>SUM(H19:K19)</f>
        <v>0</v>
      </c>
      <c r="N19" s="63">
        <v>60000</v>
      </c>
      <c r="O19" s="48">
        <f>H19*$N19</f>
        <v>0</v>
      </c>
      <c r="P19" s="48">
        <f>I19*$N19</f>
        <v>0</v>
      </c>
      <c r="Q19" s="48">
        <f>J19*$N19</f>
        <v>0</v>
      </c>
      <c r="R19" s="48">
        <f>K19*$N19</f>
        <v>0</v>
      </c>
      <c r="S19" s="144">
        <f>L19*$N19</f>
        <v>0</v>
      </c>
      <c r="T19" s="165">
        <f>SUM(O19:S19)</f>
        <v>0</v>
      </c>
      <c r="U19" s="180">
        <f>IF($E19=U$3,$T19,0)</f>
        <v>0</v>
      </c>
      <c r="V19" s="173">
        <f t="shared" ref="V19:X35" si="15">IF($E19=V$3,$T19,0)</f>
        <v>0</v>
      </c>
      <c r="W19" s="173">
        <f t="shared" si="15"/>
        <v>0</v>
      </c>
      <c r="X19" s="181">
        <f t="shared" si="15"/>
        <v>0</v>
      </c>
    </row>
    <row r="20" spans="2:24" s="45" customFormat="1" ht="16">
      <c r="B20" s="232" t="s">
        <v>205</v>
      </c>
      <c r="C20" s="275"/>
      <c r="D20" s="65" t="s">
        <v>124</v>
      </c>
      <c r="E20" s="65"/>
      <c r="F20" s="66"/>
      <c r="G20" s="65" t="s">
        <v>6</v>
      </c>
      <c r="H20" s="51"/>
      <c r="I20" s="51"/>
      <c r="J20" s="51"/>
      <c r="K20" s="51"/>
      <c r="L20" s="51"/>
      <c r="M20" s="56">
        <f>SUM(H20:K20)</f>
        <v>0</v>
      </c>
      <c r="N20" s="63">
        <v>500000</v>
      </c>
      <c r="O20" s="48">
        <f t="shared" ref="O20:S35" si="16">H20*$N20</f>
        <v>0</v>
      </c>
      <c r="P20" s="48">
        <f t="shared" si="16"/>
        <v>0</v>
      </c>
      <c r="Q20" s="48">
        <f t="shared" si="16"/>
        <v>0</v>
      </c>
      <c r="R20" s="48">
        <f t="shared" si="16"/>
        <v>0</v>
      </c>
      <c r="S20" s="144">
        <f t="shared" si="16"/>
        <v>0</v>
      </c>
      <c r="T20" s="165">
        <f t="shared" ref="T20:T35" si="17">SUM(O20:S20)</f>
        <v>0</v>
      </c>
      <c r="U20" s="180">
        <f t="shared" ref="U20:U35" si="18">IF($E20=U$3,$T20,0)</f>
        <v>0</v>
      </c>
      <c r="V20" s="173">
        <f t="shared" si="15"/>
        <v>0</v>
      </c>
      <c r="W20" s="173">
        <f t="shared" si="15"/>
        <v>0</v>
      </c>
      <c r="X20" s="181">
        <f t="shared" si="15"/>
        <v>0</v>
      </c>
    </row>
    <row r="21" spans="2:24" s="45" customFormat="1" ht="16">
      <c r="B21" s="232" t="s">
        <v>205</v>
      </c>
      <c r="C21" s="275"/>
      <c r="D21" s="65" t="s">
        <v>78</v>
      </c>
      <c r="E21" s="65" t="s">
        <v>313</v>
      </c>
      <c r="F21" s="66">
        <v>10</v>
      </c>
      <c r="G21" s="65" t="s">
        <v>34</v>
      </c>
      <c r="H21" s="51">
        <v>15</v>
      </c>
      <c r="I21" s="51">
        <v>15</v>
      </c>
      <c r="J21" s="51">
        <v>15</v>
      </c>
      <c r="K21" s="51">
        <v>15</v>
      </c>
      <c r="L21" s="51">
        <v>15</v>
      </c>
      <c r="M21" s="56">
        <f>SUM(H21:L21)</f>
        <v>75</v>
      </c>
      <c r="N21" s="63">
        <v>15000</v>
      </c>
      <c r="O21" s="48">
        <f t="shared" si="16"/>
        <v>225000</v>
      </c>
      <c r="P21" s="48">
        <f t="shared" si="16"/>
        <v>225000</v>
      </c>
      <c r="Q21" s="48">
        <f t="shared" si="16"/>
        <v>225000</v>
      </c>
      <c r="R21" s="48">
        <f t="shared" si="16"/>
        <v>225000</v>
      </c>
      <c r="S21" s="144">
        <f t="shared" si="16"/>
        <v>225000</v>
      </c>
      <c r="T21" s="165">
        <f t="shared" si="17"/>
        <v>1125000</v>
      </c>
      <c r="U21" s="180">
        <f t="shared" si="18"/>
        <v>0</v>
      </c>
      <c r="V21" s="173">
        <f t="shared" si="15"/>
        <v>0</v>
      </c>
      <c r="W21" s="173">
        <f t="shared" si="15"/>
        <v>1125000</v>
      </c>
      <c r="X21" s="181">
        <f t="shared" si="15"/>
        <v>0</v>
      </c>
    </row>
    <row r="22" spans="2:24" s="45" customFormat="1" ht="16">
      <c r="B22" s="232" t="s">
        <v>205</v>
      </c>
      <c r="C22" s="275"/>
      <c r="D22" s="65" t="s">
        <v>163</v>
      </c>
      <c r="E22" s="65" t="s">
        <v>313</v>
      </c>
      <c r="F22" s="66">
        <v>10</v>
      </c>
      <c r="G22" s="65" t="s">
        <v>34</v>
      </c>
      <c r="H22" s="51">
        <v>200</v>
      </c>
      <c r="I22" s="51">
        <v>200</v>
      </c>
      <c r="J22" s="51">
        <v>50</v>
      </c>
      <c r="K22" s="51"/>
      <c r="L22" s="51"/>
      <c r="M22" s="56">
        <f t="shared" ref="M22:M26" si="19">SUM(H22:L22)</f>
        <v>450</v>
      </c>
      <c r="N22" s="63">
        <v>500</v>
      </c>
      <c r="O22" s="48">
        <f t="shared" si="16"/>
        <v>100000</v>
      </c>
      <c r="P22" s="48">
        <f t="shared" si="16"/>
        <v>100000</v>
      </c>
      <c r="Q22" s="48">
        <f t="shared" si="16"/>
        <v>25000</v>
      </c>
      <c r="R22" s="48">
        <f t="shared" si="16"/>
        <v>0</v>
      </c>
      <c r="S22" s="144">
        <f t="shared" si="16"/>
        <v>0</v>
      </c>
      <c r="T22" s="165">
        <f t="shared" si="17"/>
        <v>225000</v>
      </c>
      <c r="U22" s="180">
        <f t="shared" si="18"/>
        <v>0</v>
      </c>
      <c r="V22" s="173">
        <f t="shared" si="15"/>
        <v>0</v>
      </c>
      <c r="W22" s="173">
        <f t="shared" si="15"/>
        <v>225000</v>
      </c>
      <c r="X22" s="181">
        <f t="shared" si="15"/>
        <v>0</v>
      </c>
    </row>
    <row r="23" spans="2:24" s="45" customFormat="1" ht="16">
      <c r="B23" s="232" t="s">
        <v>205</v>
      </c>
      <c r="C23" s="275"/>
      <c r="D23" s="65" t="s">
        <v>164</v>
      </c>
      <c r="E23" s="65" t="s">
        <v>313</v>
      </c>
      <c r="F23" s="66">
        <v>10</v>
      </c>
      <c r="G23" s="65" t="s">
        <v>34</v>
      </c>
      <c r="H23" s="51">
        <v>20</v>
      </c>
      <c r="I23" s="51">
        <v>20</v>
      </c>
      <c r="J23" s="51">
        <v>20</v>
      </c>
      <c r="K23" s="51"/>
      <c r="L23" s="51"/>
      <c r="M23" s="56">
        <f t="shared" si="19"/>
        <v>60</v>
      </c>
      <c r="N23" s="63">
        <v>5000</v>
      </c>
      <c r="O23" s="48">
        <f t="shared" si="16"/>
        <v>100000</v>
      </c>
      <c r="P23" s="48">
        <f t="shared" si="16"/>
        <v>100000</v>
      </c>
      <c r="Q23" s="48">
        <f t="shared" si="16"/>
        <v>100000</v>
      </c>
      <c r="R23" s="48">
        <f t="shared" si="16"/>
        <v>0</v>
      </c>
      <c r="S23" s="144">
        <f t="shared" si="16"/>
        <v>0</v>
      </c>
      <c r="T23" s="165">
        <f t="shared" si="17"/>
        <v>300000</v>
      </c>
      <c r="U23" s="180">
        <f t="shared" si="18"/>
        <v>0</v>
      </c>
      <c r="V23" s="173">
        <f t="shared" si="15"/>
        <v>0</v>
      </c>
      <c r="W23" s="173">
        <f t="shared" si="15"/>
        <v>300000</v>
      </c>
      <c r="X23" s="181">
        <f t="shared" si="15"/>
        <v>0</v>
      </c>
    </row>
    <row r="24" spans="2:24" s="45" customFormat="1" ht="16">
      <c r="B24" s="232" t="s">
        <v>205</v>
      </c>
      <c r="C24" s="275"/>
      <c r="D24" s="65" t="s">
        <v>165</v>
      </c>
      <c r="E24" s="65" t="s">
        <v>313</v>
      </c>
      <c r="F24" s="66">
        <v>10</v>
      </c>
      <c r="G24" s="65" t="s">
        <v>34</v>
      </c>
      <c r="H24" s="51"/>
      <c r="I24" s="51">
        <v>1</v>
      </c>
      <c r="J24" s="51"/>
      <c r="K24" s="51"/>
      <c r="L24" s="51"/>
      <c r="M24" s="56">
        <f t="shared" si="19"/>
        <v>1</v>
      </c>
      <c r="N24" s="63">
        <v>50000</v>
      </c>
      <c r="O24" s="48">
        <f t="shared" si="16"/>
        <v>0</v>
      </c>
      <c r="P24" s="48">
        <f t="shared" si="16"/>
        <v>50000</v>
      </c>
      <c r="Q24" s="48">
        <f t="shared" si="16"/>
        <v>0</v>
      </c>
      <c r="R24" s="48">
        <f t="shared" si="16"/>
        <v>0</v>
      </c>
      <c r="S24" s="144">
        <f t="shared" si="16"/>
        <v>0</v>
      </c>
      <c r="T24" s="165">
        <f t="shared" si="17"/>
        <v>50000</v>
      </c>
      <c r="U24" s="180">
        <f t="shared" si="18"/>
        <v>0</v>
      </c>
      <c r="V24" s="173">
        <f t="shared" si="15"/>
        <v>0</v>
      </c>
      <c r="W24" s="173">
        <f t="shared" si="15"/>
        <v>50000</v>
      </c>
      <c r="X24" s="181">
        <f t="shared" si="15"/>
        <v>0</v>
      </c>
    </row>
    <row r="25" spans="2:24" s="45" customFormat="1" ht="16">
      <c r="B25" s="232" t="s">
        <v>205</v>
      </c>
      <c r="C25" s="275"/>
      <c r="D25" s="65" t="s">
        <v>166</v>
      </c>
      <c r="E25" s="65" t="s">
        <v>313</v>
      </c>
      <c r="F25" s="66">
        <v>10</v>
      </c>
      <c r="G25" s="65" t="s">
        <v>34</v>
      </c>
      <c r="H25" s="51">
        <v>8</v>
      </c>
      <c r="I25" s="51">
        <v>8</v>
      </c>
      <c r="J25" s="51">
        <v>8</v>
      </c>
      <c r="K25" s="51"/>
      <c r="L25" s="51"/>
      <c r="M25" s="56">
        <f t="shared" si="19"/>
        <v>24</v>
      </c>
      <c r="N25" s="63">
        <v>6000</v>
      </c>
      <c r="O25" s="48">
        <f t="shared" si="16"/>
        <v>48000</v>
      </c>
      <c r="P25" s="48">
        <f t="shared" si="16"/>
        <v>48000</v>
      </c>
      <c r="Q25" s="48">
        <f t="shared" si="16"/>
        <v>48000</v>
      </c>
      <c r="R25" s="48">
        <f t="shared" si="16"/>
        <v>0</v>
      </c>
      <c r="S25" s="144">
        <f t="shared" si="16"/>
        <v>0</v>
      </c>
      <c r="T25" s="165">
        <f t="shared" si="17"/>
        <v>144000</v>
      </c>
      <c r="U25" s="180">
        <f t="shared" si="18"/>
        <v>0</v>
      </c>
      <c r="V25" s="173">
        <f t="shared" si="15"/>
        <v>0</v>
      </c>
      <c r="W25" s="173">
        <f t="shared" si="15"/>
        <v>144000</v>
      </c>
      <c r="X25" s="181">
        <f t="shared" si="15"/>
        <v>0</v>
      </c>
    </row>
    <row r="26" spans="2:24" s="45" customFormat="1" ht="16">
      <c r="B26" s="232" t="s">
        <v>205</v>
      </c>
      <c r="C26" s="275"/>
      <c r="D26" s="65" t="s">
        <v>167</v>
      </c>
      <c r="E26" s="65" t="s">
        <v>313</v>
      </c>
      <c r="F26" s="66">
        <v>10</v>
      </c>
      <c r="G26" s="65" t="s">
        <v>34</v>
      </c>
      <c r="H26" s="51">
        <v>2</v>
      </c>
      <c r="I26" s="51"/>
      <c r="J26" s="51"/>
      <c r="K26" s="51"/>
      <c r="L26" s="51"/>
      <c r="M26" s="56">
        <f t="shared" si="19"/>
        <v>2</v>
      </c>
      <c r="N26" s="63">
        <v>20000</v>
      </c>
      <c r="O26" s="48">
        <f t="shared" si="16"/>
        <v>40000</v>
      </c>
      <c r="P26" s="48">
        <f t="shared" si="16"/>
        <v>0</v>
      </c>
      <c r="Q26" s="48">
        <f t="shared" si="16"/>
        <v>0</v>
      </c>
      <c r="R26" s="48">
        <f t="shared" si="16"/>
        <v>0</v>
      </c>
      <c r="S26" s="144">
        <f t="shared" si="16"/>
        <v>0</v>
      </c>
      <c r="T26" s="165">
        <f t="shared" si="17"/>
        <v>40000</v>
      </c>
      <c r="U26" s="180">
        <f t="shared" si="18"/>
        <v>0</v>
      </c>
      <c r="V26" s="173">
        <f t="shared" si="15"/>
        <v>0</v>
      </c>
      <c r="W26" s="173">
        <f t="shared" si="15"/>
        <v>40000</v>
      </c>
      <c r="X26" s="181">
        <f t="shared" si="15"/>
        <v>0</v>
      </c>
    </row>
    <row r="27" spans="2:24" s="45" customFormat="1" ht="16">
      <c r="B27" s="232" t="s">
        <v>205</v>
      </c>
      <c r="C27" s="275"/>
      <c r="D27" s="65" t="s">
        <v>169</v>
      </c>
      <c r="E27" s="65" t="s">
        <v>313</v>
      </c>
      <c r="F27" s="66">
        <v>11</v>
      </c>
      <c r="G27" s="65" t="s">
        <v>34</v>
      </c>
      <c r="H27" s="51">
        <v>1</v>
      </c>
      <c r="I27" s="51">
        <v>1</v>
      </c>
      <c r="J27" s="51"/>
      <c r="K27" s="51"/>
      <c r="L27" s="51"/>
      <c r="M27" s="56">
        <f>SUM(H27:L27)</f>
        <v>2</v>
      </c>
      <c r="N27" s="63">
        <v>20000</v>
      </c>
      <c r="O27" s="48">
        <f t="shared" si="16"/>
        <v>20000</v>
      </c>
      <c r="P27" s="48">
        <f t="shared" si="16"/>
        <v>20000</v>
      </c>
      <c r="Q27" s="48">
        <f t="shared" si="16"/>
        <v>0</v>
      </c>
      <c r="R27" s="48">
        <f t="shared" si="16"/>
        <v>0</v>
      </c>
      <c r="S27" s="144">
        <f t="shared" si="16"/>
        <v>0</v>
      </c>
      <c r="T27" s="165">
        <f t="shared" si="17"/>
        <v>40000</v>
      </c>
      <c r="U27" s="180">
        <f t="shared" si="18"/>
        <v>0</v>
      </c>
      <c r="V27" s="173">
        <f t="shared" si="15"/>
        <v>0</v>
      </c>
      <c r="W27" s="173">
        <f t="shared" si="15"/>
        <v>40000</v>
      </c>
      <c r="X27" s="181">
        <f t="shared" si="15"/>
        <v>0</v>
      </c>
    </row>
    <row r="28" spans="2:24" s="45" customFormat="1" ht="16">
      <c r="B28" s="232" t="s">
        <v>205</v>
      </c>
      <c r="C28" s="275"/>
      <c r="D28" s="65" t="s">
        <v>168</v>
      </c>
      <c r="E28" s="65" t="s">
        <v>313</v>
      </c>
      <c r="F28" s="66">
        <v>12</v>
      </c>
      <c r="G28" s="65" t="s">
        <v>34</v>
      </c>
      <c r="H28" s="51"/>
      <c r="I28" s="51">
        <v>1</v>
      </c>
      <c r="J28" s="51"/>
      <c r="K28" s="51"/>
      <c r="L28" s="51"/>
      <c r="M28" s="56">
        <f>SUM(H28:L28)</f>
        <v>1</v>
      </c>
      <c r="N28" s="63">
        <v>10000</v>
      </c>
      <c r="O28" s="48">
        <f t="shared" ref="O28:O29" si="20">H28*$N28</f>
        <v>0</v>
      </c>
      <c r="P28" s="48">
        <f t="shared" si="16"/>
        <v>10000</v>
      </c>
      <c r="Q28" s="48">
        <f>J28*$N28</f>
        <v>0</v>
      </c>
      <c r="R28" s="48">
        <f t="shared" si="16"/>
        <v>0</v>
      </c>
      <c r="S28" s="144">
        <f t="shared" si="16"/>
        <v>0</v>
      </c>
      <c r="T28" s="165">
        <f t="shared" si="17"/>
        <v>10000</v>
      </c>
      <c r="U28" s="180">
        <f t="shared" si="18"/>
        <v>0</v>
      </c>
      <c r="V28" s="173">
        <f t="shared" si="15"/>
        <v>0</v>
      </c>
      <c r="W28" s="173">
        <f t="shared" si="15"/>
        <v>10000</v>
      </c>
      <c r="X28" s="181">
        <f>IF($E28=X$3,$T28,0)</f>
        <v>0</v>
      </c>
    </row>
    <row r="29" spans="2:24" s="45" customFormat="1" ht="16">
      <c r="B29" s="232" t="s">
        <v>205</v>
      </c>
      <c r="C29" s="275"/>
      <c r="D29" s="252" t="s">
        <v>290</v>
      </c>
      <c r="E29" s="65" t="s">
        <v>313</v>
      </c>
      <c r="F29" s="66">
        <v>5</v>
      </c>
      <c r="G29" s="65" t="s">
        <v>34</v>
      </c>
      <c r="H29" s="51"/>
      <c r="I29" s="51">
        <v>1</v>
      </c>
      <c r="J29" s="51"/>
      <c r="K29" s="51"/>
      <c r="L29" s="51"/>
      <c r="M29" s="56">
        <f t="shared" ref="M29" si="21">SUM(H29:K29)</f>
        <v>1</v>
      </c>
      <c r="N29" s="63">
        <v>10000</v>
      </c>
      <c r="O29" s="48">
        <f t="shared" si="20"/>
        <v>0</v>
      </c>
      <c r="P29" s="48">
        <f t="shared" ref="P29" si="22">I29*$N29</f>
        <v>10000</v>
      </c>
      <c r="Q29" s="48">
        <f t="shared" ref="Q29" si="23">J29*$N29</f>
        <v>0</v>
      </c>
      <c r="R29" s="48">
        <f t="shared" ref="R29" si="24">K29*$N29</f>
        <v>0</v>
      </c>
      <c r="S29" s="144">
        <f t="shared" ref="S29" si="25">L29*$N29</f>
        <v>0</v>
      </c>
      <c r="T29" s="165">
        <f t="shared" ref="T29" si="26">SUM(O29:S29)</f>
        <v>10000</v>
      </c>
      <c r="U29" s="180">
        <f t="shared" si="18"/>
        <v>0</v>
      </c>
      <c r="V29" s="173">
        <f t="shared" si="15"/>
        <v>0</v>
      </c>
      <c r="W29" s="173">
        <f t="shared" si="15"/>
        <v>10000</v>
      </c>
      <c r="X29" s="181">
        <f t="shared" si="15"/>
        <v>0</v>
      </c>
    </row>
    <row r="30" spans="2:24" s="45" customFormat="1" ht="16">
      <c r="B30" s="232" t="s">
        <v>205</v>
      </c>
      <c r="C30" s="275"/>
      <c r="D30" s="65" t="s">
        <v>29</v>
      </c>
      <c r="E30" s="65" t="s">
        <v>313</v>
      </c>
      <c r="F30" s="66">
        <v>5</v>
      </c>
      <c r="G30" s="65" t="s">
        <v>34</v>
      </c>
      <c r="H30" s="51"/>
      <c r="I30" s="51"/>
      <c r="J30" s="51"/>
      <c r="K30" s="51"/>
      <c r="L30" s="51"/>
      <c r="M30" s="56">
        <f t="shared" ref="M30:M35" si="27">SUM(H30:K30)</f>
        <v>0</v>
      </c>
      <c r="N30" s="63">
        <v>36000</v>
      </c>
      <c r="O30" s="48">
        <f t="shared" si="16"/>
        <v>0</v>
      </c>
      <c r="P30" s="48">
        <f t="shared" si="16"/>
        <v>0</v>
      </c>
      <c r="Q30" s="48">
        <f t="shared" si="16"/>
        <v>0</v>
      </c>
      <c r="R30" s="48">
        <f t="shared" si="16"/>
        <v>0</v>
      </c>
      <c r="S30" s="144">
        <f t="shared" si="16"/>
        <v>0</v>
      </c>
      <c r="T30" s="165">
        <f t="shared" si="17"/>
        <v>0</v>
      </c>
      <c r="U30" s="180">
        <f t="shared" si="18"/>
        <v>0</v>
      </c>
      <c r="V30" s="173">
        <f t="shared" si="15"/>
        <v>0</v>
      </c>
      <c r="W30" s="173">
        <f t="shared" si="15"/>
        <v>0</v>
      </c>
      <c r="X30" s="181">
        <f t="shared" si="15"/>
        <v>0</v>
      </c>
    </row>
    <row r="31" spans="2:24" s="45" customFormat="1" ht="16">
      <c r="B31" s="232" t="s">
        <v>205</v>
      </c>
      <c r="C31" s="275"/>
      <c r="D31" s="65" t="s">
        <v>30</v>
      </c>
      <c r="E31" s="65"/>
      <c r="F31" s="66"/>
      <c r="G31" s="65" t="s">
        <v>34</v>
      </c>
      <c r="H31" s="51"/>
      <c r="I31" s="51"/>
      <c r="J31" s="51"/>
      <c r="K31" s="51"/>
      <c r="L31" s="51"/>
      <c r="M31" s="56">
        <f t="shared" si="27"/>
        <v>0</v>
      </c>
      <c r="N31" s="63">
        <v>420000</v>
      </c>
      <c r="O31" s="48">
        <f t="shared" si="16"/>
        <v>0</v>
      </c>
      <c r="P31" s="48">
        <f t="shared" si="16"/>
        <v>0</v>
      </c>
      <c r="Q31" s="48">
        <f t="shared" si="16"/>
        <v>0</v>
      </c>
      <c r="R31" s="48">
        <f t="shared" si="16"/>
        <v>0</v>
      </c>
      <c r="S31" s="144">
        <f t="shared" si="16"/>
        <v>0</v>
      </c>
      <c r="T31" s="165">
        <f t="shared" si="17"/>
        <v>0</v>
      </c>
      <c r="U31" s="180">
        <f t="shared" si="18"/>
        <v>0</v>
      </c>
      <c r="V31" s="173">
        <f t="shared" si="15"/>
        <v>0</v>
      </c>
      <c r="W31" s="173">
        <f t="shared" si="15"/>
        <v>0</v>
      </c>
      <c r="X31" s="181">
        <f t="shared" si="15"/>
        <v>0</v>
      </c>
    </row>
    <row r="32" spans="2:24" s="45" customFormat="1" ht="16">
      <c r="B32" s="232" t="s">
        <v>205</v>
      </c>
      <c r="C32" s="275"/>
      <c r="D32" s="65" t="s">
        <v>31</v>
      </c>
      <c r="E32" s="65" t="s">
        <v>313</v>
      </c>
      <c r="F32" s="66">
        <v>10</v>
      </c>
      <c r="G32" s="65" t="s">
        <v>34</v>
      </c>
      <c r="H32" s="51"/>
      <c r="I32" s="51"/>
      <c r="J32" s="51"/>
      <c r="K32" s="51"/>
      <c r="L32" s="51"/>
      <c r="M32" s="56">
        <f>SUM(H32:L32)</f>
        <v>0</v>
      </c>
      <c r="N32" s="63">
        <v>480000</v>
      </c>
      <c r="O32" s="48">
        <f t="shared" si="16"/>
        <v>0</v>
      </c>
      <c r="P32" s="48">
        <f t="shared" si="16"/>
        <v>0</v>
      </c>
      <c r="Q32" s="48">
        <f t="shared" si="16"/>
        <v>0</v>
      </c>
      <c r="R32" s="48">
        <f t="shared" si="16"/>
        <v>0</v>
      </c>
      <c r="S32" s="144">
        <f t="shared" si="16"/>
        <v>0</v>
      </c>
      <c r="T32" s="165">
        <f t="shared" si="17"/>
        <v>0</v>
      </c>
      <c r="U32" s="180">
        <f t="shared" si="18"/>
        <v>0</v>
      </c>
      <c r="V32" s="173">
        <f t="shared" si="15"/>
        <v>0</v>
      </c>
      <c r="W32" s="173">
        <f t="shared" si="15"/>
        <v>0</v>
      </c>
      <c r="X32" s="181">
        <f t="shared" si="15"/>
        <v>0</v>
      </c>
    </row>
    <row r="33" spans="2:24" s="45" customFormat="1" ht="16">
      <c r="B33" s="232" t="s">
        <v>205</v>
      </c>
      <c r="C33" s="275"/>
      <c r="D33" s="65" t="s">
        <v>14</v>
      </c>
      <c r="E33" s="65" t="s">
        <v>313</v>
      </c>
      <c r="F33" s="66">
        <v>15</v>
      </c>
      <c r="G33" s="65" t="s">
        <v>34</v>
      </c>
      <c r="H33" s="51"/>
      <c r="I33" s="51">
        <v>1</v>
      </c>
      <c r="J33" s="51"/>
      <c r="K33" s="51"/>
      <c r="L33" s="51"/>
      <c r="M33" s="56">
        <f t="shared" si="27"/>
        <v>1</v>
      </c>
      <c r="N33" s="63">
        <v>240000</v>
      </c>
      <c r="O33" s="48">
        <f t="shared" si="16"/>
        <v>0</v>
      </c>
      <c r="P33" s="48">
        <f t="shared" si="16"/>
        <v>240000</v>
      </c>
      <c r="Q33" s="48">
        <f t="shared" si="16"/>
        <v>0</v>
      </c>
      <c r="R33" s="48">
        <f t="shared" si="16"/>
        <v>0</v>
      </c>
      <c r="S33" s="144">
        <f t="shared" si="16"/>
        <v>0</v>
      </c>
      <c r="T33" s="165">
        <f t="shared" si="17"/>
        <v>240000</v>
      </c>
      <c r="U33" s="180">
        <f t="shared" si="18"/>
        <v>0</v>
      </c>
      <c r="V33" s="173">
        <f t="shared" si="15"/>
        <v>0</v>
      </c>
      <c r="W33" s="173">
        <f t="shared" si="15"/>
        <v>240000</v>
      </c>
      <c r="X33" s="181">
        <f t="shared" si="15"/>
        <v>0</v>
      </c>
    </row>
    <row r="34" spans="2:24" s="45" customFormat="1" ht="16">
      <c r="B34" s="232" t="s">
        <v>205</v>
      </c>
      <c r="C34" s="275"/>
      <c r="D34" s="65" t="s">
        <v>2</v>
      </c>
      <c r="E34" s="65" t="s">
        <v>313</v>
      </c>
      <c r="F34" s="66">
        <v>20</v>
      </c>
      <c r="G34" s="65" t="s">
        <v>34</v>
      </c>
      <c r="H34" s="51"/>
      <c r="I34" s="51">
        <v>1</v>
      </c>
      <c r="J34" s="51"/>
      <c r="K34" s="51"/>
      <c r="L34" s="51"/>
      <c r="M34" s="56">
        <f t="shared" si="27"/>
        <v>1</v>
      </c>
      <c r="N34" s="63">
        <v>2500000</v>
      </c>
      <c r="O34" s="48">
        <f t="shared" si="16"/>
        <v>0</v>
      </c>
      <c r="P34" s="48">
        <f t="shared" si="16"/>
        <v>2500000</v>
      </c>
      <c r="Q34" s="48">
        <f t="shared" si="16"/>
        <v>0</v>
      </c>
      <c r="R34" s="48">
        <f t="shared" si="16"/>
        <v>0</v>
      </c>
      <c r="S34" s="144">
        <f t="shared" si="16"/>
        <v>0</v>
      </c>
      <c r="T34" s="165">
        <f t="shared" si="17"/>
        <v>2500000</v>
      </c>
      <c r="U34" s="180">
        <f t="shared" si="18"/>
        <v>0</v>
      </c>
      <c r="V34" s="173">
        <f t="shared" si="15"/>
        <v>0</v>
      </c>
      <c r="W34" s="173">
        <f t="shared" si="15"/>
        <v>2500000</v>
      </c>
      <c r="X34" s="181">
        <f t="shared" si="15"/>
        <v>0</v>
      </c>
    </row>
    <row r="35" spans="2:24" s="45" customFormat="1" ht="17" thickBot="1">
      <c r="B35" s="232" t="s">
        <v>205</v>
      </c>
      <c r="C35" s="276"/>
      <c r="D35" s="67" t="s">
        <v>46</v>
      </c>
      <c r="E35" s="65" t="s">
        <v>313</v>
      </c>
      <c r="F35" s="68">
        <v>30</v>
      </c>
      <c r="G35" s="67" t="s">
        <v>6</v>
      </c>
      <c r="H35" s="52">
        <f>H34</f>
        <v>0</v>
      </c>
      <c r="I35" s="52">
        <f t="shared" ref="I35:L35" si="28">I34</f>
        <v>1</v>
      </c>
      <c r="J35" s="52">
        <f t="shared" si="28"/>
        <v>0</v>
      </c>
      <c r="K35" s="52">
        <f t="shared" si="28"/>
        <v>0</v>
      </c>
      <c r="L35" s="52">
        <f t="shared" si="28"/>
        <v>0</v>
      </c>
      <c r="M35" s="57">
        <f t="shared" si="27"/>
        <v>1</v>
      </c>
      <c r="N35" s="64">
        <v>500000</v>
      </c>
      <c r="O35" s="49">
        <f t="shared" si="16"/>
        <v>0</v>
      </c>
      <c r="P35" s="49">
        <f t="shared" si="16"/>
        <v>500000</v>
      </c>
      <c r="Q35" s="49">
        <f t="shared" si="16"/>
        <v>0</v>
      </c>
      <c r="R35" s="49">
        <f t="shared" si="16"/>
        <v>0</v>
      </c>
      <c r="S35" s="145">
        <f t="shared" si="16"/>
        <v>0</v>
      </c>
      <c r="T35" s="166">
        <f t="shared" si="17"/>
        <v>500000</v>
      </c>
      <c r="U35" s="180">
        <f t="shared" si="18"/>
        <v>0</v>
      </c>
      <c r="V35" s="173">
        <f t="shared" si="15"/>
        <v>0</v>
      </c>
      <c r="W35" s="173">
        <f t="shared" si="15"/>
        <v>500000</v>
      </c>
      <c r="X35" s="181">
        <f t="shared" si="15"/>
        <v>0</v>
      </c>
    </row>
    <row r="36" spans="2:24" s="45" customFormat="1" ht="16" thickBot="1">
      <c r="C36" s="46"/>
      <c r="D36" s="46"/>
      <c r="E36" s="46"/>
      <c r="F36" s="46"/>
      <c r="G36" s="46"/>
      <c r="H36" s="46"/>
      <c r="I36" s="46"/>
      <c r="J36" s="46"/>
      <c r="K36" s="46"/>
      <c r="L36" s="46"/>
      <c r="M36" s="46"/>
      <c r="N36" s="46"/>
      <c r="O36" s="46"/>
      <c r="P36" s="46"/>
      <c r="Q36" s="46"/>
      <c r="R36" s="46"/>
      <c r="S36" s="46"/>
      <c r="T36" s="46"/>
      <c r="U36" s="177"/>
      <c r="V36" s="177"/>
      <c r="W36" s="177"/>
      <c r="X36" s="177"/>
    </row>
    <row r="37" spans="2:24" s="45" customFormat="1" ht="16" thickBot="1">
      <c r="C37" s="47"/>
      <c r="D37" s="46"/>
      <c r="E37" s="46"/>
      <c r="F37" s="46"/>
      <c r="G37" s="46"/>
      <c r="H37" s="46"/>
      <c r="I37" s="46"/>
      <c r="J37" s="46"/>
      <c r="K37" s="46"/>
      <c r="L37" s="87"/>
      <c r="M37" s="88"/>
      <c r="N37" s="89" t="s">
        <v>105</v>
      </c>
      <c r="O37" s="83">
        <f>SUM(O19:O35)</f>
        <v>533000</v>
      </c>
      <c r="P37" s="84">
        <f>SUM(P19:P35)</f>
        <v>3803000</v>
      </c>
      <c r="Q37" s="84">
        <f>SUM(Q19:Q35)</f>
        <v>398000</v>
      </c>
      <c r="R37" s="84">
        <f>SUM(R19:R35)</f>
        <v>225000</v>
      </c>
      <c r="S37" s="85">
        <f>SUM(S19:S35)</f>
        <v>225000</v>
      </c>
      <c r="T37" s="167">
        <f>SUM(O37:S37)</f>
        <v>5184000</v>
      </c>
      <c r="U37" s="172">
        <f>SUM(U19:U35)</f>
        <v>0</v>
      </c>
      <c r="V37" s="174">
        <f t="shared" ref="V37:X37" si="29">SUM(V19:V35)</f>
        <v>0</v>
      </c>
      <c r="W37" s="174">
        <f t="shared" si="29"/>
        <v>5184000</v>
      </c>
      <c r="X37" s="175">
        <f t="shared" si="29"/>
        <v>0</v>
      </c>
    </row>
    <row r="38" spans="2:24">
      <c r="C38" s="11"/>
      <c r="D38" s="2"/>
      <c r="E38" s="2"/>
      <c r="F38" s="2"/>
      <c r="G38" s="2"/>
      <c r="H38" s="2"/>
      <c r="I38" s="2"/>
      <c r="J38" s="2"/>
      <c r="K38" s="2"/>
      <c r="L38" s="2"/>
      <c r="M38" s="2"/>
      <c r="N38" s="36"/>
      <c r="O38" s="37"/>
      <c r="P38" s="37"/>
      <c r="Q38" s="37"/>
      <c r="R38" s="37"/>
      <c r="S38" s="37"/>
      <c r="T38" s="38"/>
      <c r="U38" s="38"/>
      <c r="V38" s="38"/>
      <c r="W38" s="38"/>
      <c r="X38" s="38"/>
    </row>
    <row r="39" spans="2:24" ht="16" thickBot="1">
      <c r="C39" s="9"/>
      <c r="D39" s="2"/>
      <c r="E39" s="2"/>
      <c r="F39" s="2"/>
      <c r="G39" s="2"/>
      <c r="H39" s="2"/>
      <c r="I39" s="2"/>
      <c r="J39" s="2"/>
      <c r="K39" s="2"/>
      <c r="L39" s="2"/>
      <c r="M39" s="2"/>
      <c r="N39" s="36"/>
      <c r="O39" s="37"/>
      <c r="P39" s="37"/>
      <c r="Q39" s="37"/>
      <c r="R39" s="37"/>
      <c r="S39" s="37"/>
      <c r="T39" s="38"/>
      <c r="U39" s="38"/>
      <c r="V39" s="38"/>
      <c r="W39" s="38"/>
      <c r="X39" s="38"/>
    </row>
    <row r="40" spans="2:24" s="71" customFormat="1" ht="48">
      <c r="C40" s="75" t="s">
        <v>100</v>
      </c>
      <c r="D40" s="74" t="s">
        <v>7</v>
      </c>
      <c r="E40" s="74" t="str">
        <f>E18</f>
        <v>Fin.
AFD, EU, GCF, GVNT</v>
      </c>
      <c r="F40" s="74" t="str">
        <f>F18</f>
        <v>Durée de vie (an)</v>
      </c>
      <c r="G40" s="74" t="s">
        <v>33</v>
      </c>
      <c r="H40" s="72">
        <v>2021</v>
      </c>
      <c r="I40" s="72">
        <v>2022</v>
      </c>
      <c r="J40" s="72">
        <v>2023</v>
      </c>
      <c r="K40" s="72">
        <v>2024</v>
      </c>
      <c r="L40" s="72">
        <v>2025</v>
      </c>
      <c r="M40" s="69" t="s">
        <v>44</v>
      </c>
      <c r="N40" s="62" t="s">
        <v>45</v>
      </c>
      <c r="O40" s="73" t="s">
        <v>73</v>
      </c>
      <c r="P40" s="73" t="s">
        <v>47</v>
      </c>
      <c r="Q40" s="73" t="s">
        <v>74</v>
      </c>
      <c r="R40" s="73" t="s">
        <v>75</v>
      </c>
      <c r="S40" s="73" t="s">
        <v>76</v>
      </c>
      <c r="T40" s="176" t="s">
        <v>5</v>
      </c>
      <c r="U40" s="178"/>
      <c r="V40" s="170"/>
      <c r="W40" s="170"/>
      <c r="X40" s="179"/>
    </row>
    <row r="41" spans="2:24" ht="16">
      <c r="B41" s="231" t="s">
        <v>206</v>
      </c>
      <c r="C41" s="277" t="s">
        <v>13</v>
      </c>
      <c r="D41" s="65" t="s">
        <v>19</v>
      </c>
      <c r="E41" s="65" t="s">
        <v>313</v>
      </c>
      <c r="F41" s="66">
        <v>10</v>
      </c>
      <c r="G41" s="65" t="s">
        <v>35</v>
      </c>
      <c r="H41" s="51">
        <v>1</v>
      </c>
      <c r="I41" s="51"/>
      <c r="J41" s="51"/>
      <c r="K41" s="51"/>
      <c r="L41" s="51"/>
      <c r="M41" s="56">
        <f>SUM(H41:L41)</f>
        <v>1</v>
      </c>
      <c r="N41" s="63">
        <v>300000</v>
      </c>
      <c r="O41" s="48">
        <f>H41*$N41</f>
        <v>300000</v>
      </c>
      <c r="P41" s="48">
        <f>I41*$N41</f>
        <v>0</v>
      </c>
      <c r="Q41" s="48">
        <f>J41*$N41</f>
        <v>0</v>
      </c>
      <c r="R41" s="48">
        <f>K41*$N41</f>
        <v>0</v>
      </c>
      <c r="S41" s="48">
        <f>L41*$N41</f>
        <v>0</v>
      </c>
      <c r="T41" s="165">
        <f>SUM(O41:S41)</f>
        <v>300000</v>
      </c>
      <c r="U41" s="180">
        <f>IF($E41=U$3,$T41,0)</f>
        <v>0</v>
      </c>
      <c r="V41" s="173">
        <f t="shared" ref="V41:X52" si="30">IF($E41=V$3,$T41,0)</f>
        <v>0</v>
      </c>
      <c r="W41" s="173">
        <f t="shared" si="30"/>
        <v>300000</v>
      </c>
      <c r="X41" s="181">
        <f t="shared" si="30"/>
        <v>0</v>
      </c>
    </row>
    <row r="42" spans="2:24" ht="16">
      <c r="B42" s="231" t="s">
        <v>206</v>
      </c>
      <c r="C42" s="273"/>
      <c r="D42" s="65" t="s">
        <v>89</v>
      </c>
      <c r="E42" s="65" t="s">
        <v>313</v>
      </c>
      <c r="F42" s="66">
        <v>10</v>
      </c>
      <c r="G42" s="65" t="s">
        <v>34</v>
      </c>
      <c r="H42" s="51">
        <v>1</v>
      </c>
      <c r="I42" s="51"/>
      <c r="J42" s="51"/>
      <c r="K42" s="51"/>
      <c r="L42" s="51"/>
      <c r="M42" s="56">
        <f t="shared" ref="M42:M52" si="31">SUM(H42:L42)</f>
        <v>1</v>
      </c>
      <c r="N42" s="63">
        <v>300000</v>
      </c>
      <c r="O42" s="48">
        <f t="shared" ref="O42:S52" si="32">H42*$N42</f>
        <v>300000</v>
      </c>
      <c r="P42" s="48">
        <f t="shared" si="32"/>
        <v>0</v>
      </c>
      <c r="Q42" s="48">
        <f t="shared" si="32"/>
        <v>0</v>
      </c>
      <c r="R42" s="48">
        <f t="shared" si="32"/>
        <v>0</v>
      </c>
      <c r="S42" s="48">
        <f t="shared" si="32"/>
        <v>0</v>
      </c>
      <c r="T42" s="165">
        <f t="shared" ref="T42:T52" si="33">SUM(O42:S42)</f>
        <v>300000</v>
      </c>
      <c r="U42" s="180">
        <f t="shared" ref="U42:U52" si="34">IF($E42=U$3,$T42,0)</f>
        <v>0</v>
      </c>
      <c r="V42" s="173">
        <f t="shared" si="30"/>
        <v>0</v>
      </c>
      <c r="W42" s="173">
        <f t="shared" si="30"/>
        <v>300000</v>
      </c>
      <c r="X42" s="181">
        <f t="shared" si="30"/>
        <v>0</v>
      </c>
    </row>
    <row r="43" spans="2:24" ht="16">
      <c r="B43" s="231" t="s">
        <v>206</v>
      </c>
      <c r="C43" s="273"/>
      <c r="D43" s="65" t="s">
        <v>43</v>
      </c>
      <c r="E43" s="65" t="s">
        <v>313</v>
      </c>
      <c r="F43" s="66">
        <v>10</v>
      </c>
      <c r="G43" s="65" t="s">
        <v>34</v>
      </c>
      <c r="H43" s="51">
        <v>1</v>
      </c>
      <c r="I43" s="51"/>
      <c r="J43" s="51"/>
      <c r="K43" s="51"/>
      <c r="L43" s="51"/>
      <c r="M43" s="56">
        <f t="shared" si="31"/>
        <v>1</v>
      </c>
      <c r="N43" s="63">
        <v>200000</v>
      </c>
      <c r="O43" s="48">
        <f t="shared" si="32"/>
        <v>200000</v>
      </c>
      <c r="P43" s="48">
        <f t="shared" si="32"/>
        <v>0</v>
      </c>
      <c r="Q43" s="48">
        <f t="shared" si="32"/>
        <v>0</v>
      </c>
      <c r="R43" s="48">
        <f t="shared" si="32"/>
        <v>0</v>
      </c>
      <c r="S43" s="48">
        <f t="shared" si="32"/>
        <v>0</v>
      </c>
      <c r="T43" s="165">
        <f t="shared" si="33"/>
        <v>200000</v>
      </c>
      <c r="U43" s="180">
        <f t="shared" si="34"/>
        <v>0</v>
      </c>
      <c r="V43" s="173">
        <f t="shared" si="30"/>
        <v>0</v>
      </c>
      <c r="W43" s="173">
        <f t="shared" si="30"/>
        <v>200000</v>
      </c>
      <c r="X43" s="181">
        <f t="shared" si="30"/>
        <v>0</v>
      </c>
    </row>
    <row r="44" spans="2:24" ht="16">
      <c r="B44" s="231" t="s">
        <v>206</v>
      </c>
      <c r="C44" s="273"/>
      <c r="D44" s="65" t="s">
        <v>36</v>
      </c>
      <c r="E44" s="65" t="s">
        <v>313</v>
      </c>
      <c r="F44" s="66">
        <v>10</v>
      </c>
      <c r="G44" s="65" t="s">
        <v>34</v>
      </c>
      <c r="H44" s="51"/>
      <c r="I44" s="51">
        <v>1</v>
      </c>
      <c r="J44" s="51"/>
      <c r="K44" s="51"/>
      <c r="L44" s="51"/>
      <c r="M44" s="56">
        <f t="shared" si="31"/>
        <v>1</v>
      </c>
      <c r="N44" s="63">
        <v>300000</v>
      </c>
      <c r="O44" s="48">
        <f t="shared" si="32"/>
        <v>0</v>
      </c>
      <c r="P44" s="48">
        <f t="shared" si="32"/>
        <v>300000</v>
      </c>
      <c r="Q44" s="48">
        <f t="shared" si="32"/>
        <v>0</v>
      </c>
      <c r="R44" s="48">
        <f t="shared" si="32"/>
        <v>0</v>
      </c>
      <c r="S44" s="48">
        <f t="shared" si="32"/>
        <v>0</v>
      </c>
      <c r="T44" s="165">
        <f t="shared" si="33"/>
        <v>300000</v>
      </c>
      <c r="U44" s="180">
        <f t="shared" si="34"/>
        <v>0</v>
      </c>
      <c r="V44" s="173">
        <f t="shared" si="30"/>
        <v>0</v>
      </c>
      <c r="W44" s="173">
        <f t="shared" si="30"/>
        <v>300000</v>
      </c>
      <c r="X44" s="181">
        <f t="shared" si="30"/>
        <v>0</v>
      </c>
    </row>
    <row r="45" spans="2:24" ht="16">
      <c r="B45" s="231" t="s">
        <v>206</v>
      </c>
      <c r="C45" s="273"/>
      <c r="D45" s="65" t="s">
        <v>67</v>
      </c>
      <c r="E45" s="65" t="s">
        <v>313</v>
      </c>
      <c r="F45" s="66">
        <v>10</v>
      </c>
      <c r="G45" s="65" t="s">
        <v>35</v>
      </c>
      <c r="H45" s="51"/>
      <c r="I45" s="51">
        <v>2</v>
      </c>
      <c r="J45" s="51"/>
      <c r="K45" s="51"/>
      <c r="L45" s="51"/>
      <c r="M45" s="56">
        <f t="shared" si="31"/>
        <v>2</v>
      </c>
      <c r="N45" s="63">
        <v>150000</v>
      </c>
      <c r="O45" s="48">
        <f t="shared" si="32"/>
        <v>0</v>
      </c>
      <c r="P45" s="48">
        <f t="shared" si="32"/>
        <v>300000</v>
      </c>
      <c r="Q45" s="48">
        <f t="shared" si="32"/>
        <v>0</v>
      </c>
      <c r="R45" s="48">
        <f t="shared" si="32"/>
        <v>0</v>
      </c>
      <c r="S45" s="48">
        <f t="shared" si="32"/>
        <v>0</v>
      </c>
      <c r="T45" s="165">
        <f t="shared" si="33"/>
        <v>300000</v>
      </c>
      <c r="U45" s="180">
        <f t="shared" si="34"/>
        <v>0</v>
      </c>
      <c r="V45" s="173">
        <f t="shared" si="30"/>
        <v>0</v>
      </c>
      <c r="W45" s="173">
        <f t="shared" si="30"/>
        <v>300000</v>
      </c>
      <c r="X45" s="181">
        <f t="shared" si="30"/>
        <v>0</v>
      </c>
    </row>
    <row r="46" spans="2:24" ht="16">
      <c r="B46" s="231" t="s">
        <v>206</v>
      </c>
      <c r="C46" s="273"/>
      <c r="D46" s="65" t="s">
        <v>37</v>
      </c>
      <c r="E46" s="65" t="s">
        <v>313</v>
      </c>
      <c r="F46" s="66"/>
      <c r="G46" s="65" t="s">
        <v>35</v>
      </c>
      <c r="H46" s="51"/>
      <c r="I46" s="51"/>
      <c r="J46" s="51"/>
      <c r="K46" s="51"/>
      <c r="L46" s="51"/>
      <c r="M46" s="56">
        <f t="shared" si="31"/>
        <v>0</v>
      </c>
      <c r="N46" s="63">
        <v>360000</v>
      </c>
      <c r="O46" s="48">
        <f t="shared" si="32"/>
        <v>0</v>
      </c>
      <c r="P46" s="48">
        <f t="shared" si="32"/>
        <v>0</v>
      </c>
      <c r="Q46" s="48">
        <f t="shared" si="32"/>
        <v>0</v>
      </c>
      <c r="R46" s="48">
        <f t="shared" si="32"/>
        <v>0</v>
      </c>
      <c r="S46" s="48">
        <f t="shared" si="32"/>
        <v>0</v>
      </c>
      <c r="T46" s="165">
        <f t="shared" si="33"/>
        <v>0</v>
      </c>
      <c r="U46" s="180">
        <f t="shared" si="34"/>
        <v>0</v>
      </c>
      <c r="V46" s="173">
        <f t="shared" si="30"/>
        <v>0</v>
      </c>
      <c r="W46" s="173">
        <f t="shared" si="30"/>
        <v>0</v>
      </c>
      <c r="X46" s="181">
        <f t="shared" si="30"/>
        <v>0</v>
      </c>
    </row>
    <row r="47" spans="2:24" ht="16">
      <c r="B47" s="231" t="s">
        <v>206</v>
      </c>
      <c r="C47" s="273"/>
      <c r="D47" s="65" t="s">
        <v>3</v>
      </c>
      <c r="E47" s="65" t="s">
        <v>313</v>
      </c>
      <c r="F47" s="66">
        <v>10</v>
      </c>
      <c r="G47" s="65" t="s">
        <v>35</v>
      </c>
      <c r="H47" s="51"/>
      <c r="I47" s="51">
        <v>1</v>
      </c>
      <c r="J47" s="51"/>
      <c r="K47" s="51"/>
      <c r="L47" s="51"/>
      <c r="M47" s="56">
        <f t="shared" si="31"/>
        <v>1</v>
      </c>
      <c r="N47" s="63">
        <v>600000</v>
      </c>
      <c r="O47" s="48">
        <f t="shared" si="32"/>
        <v>0</v>
      </c>
      <c r="P47" s="48">
        <f t="shared" si="32"/>
        <v>600000</v>
      </c>
      <c r="Q47" s="48">
        <f t="shared" si="32"/>
        <v>0</v>
      </c>
      <c r="R47" s="48">
        <f t="shared" si="32"/>
        <v>0</v>
      </c>
      <c r="S47" s="48">
        <f t="shared" si="32"/>
        <v>0</v>
      </c>
      <c r="T47" s="165">
        <f t="shared" si="33"/>
        <v>600000</v>
      </c>
      <c r="U47" s="180">
        <f t="shared" si="34"/>
        <v>0</v>
      </c>
      <c r="V47" s="173">
        <f t="shared" si="30"/>
        <v>0</v>
      </c>
      <c r="W47" s="173">
        <f t="shared" si="30"/>
        <v>600000</v>
      </c>
      <c r="X47" s="181">
        <f t="shared" si="30"/>
        <v>0</v>
      </c>
    </row>
    <row r="48" spans="2:24" ht="16">
      <c r="B48" s="231" t="s">
        <v>206</v>
      </c>
      <c r="C48" s="273"/>
      <c r="D48" s="65" t="s">
        <v>38</v>
      </c>
      <c r="E48" s="65" t="s">
        <v>313</v>
      </c>
      <c r="F48" s="66">
        <v>10</v>
      </c>
      <c r="G48" s="65" t="s">
        <v>35</v>
      </c>
      <c r="H48" s="51"/>
      <c r="I48" s="51">
        <v>0.75</v>
      </c>
      <c r="J48" s="51">
        <v>0.25</v>
      </c>
      <c r="K48" s="51"/>
      <c r="L48" s="51"/>
      <c r="M48" s="56">
        <f t="shared" si="31"/>
        <v>1</v>
      </c>
      <c r="N48" s="63">
        <v>600000</v>
      </c>
      <c r="O48" s="48">
        <f t="shared" si="32"/>
        <v>0</v>
      </c>
      <c r="P48" s="48">
        <f t="shared" si="32"/>
        <v>450000</v>
      </c>
      <c r="Q48" s="48">
        <f t="shared" si="32"/>
        <v>150000</v>
      </c>
      <c r="R48" s="48">
        <f t="shared" si="32"/>
        <v>0</v>
      </c>
      <c r="S48" s="48">
        <f t="shared" si="32"/>
        <v>0</v>
      </c>
      <c r="T48" s="165">
        <f t="shared" si="33"/>
        <v>600000</v>
      </c>
      <c r="U48" s="180">
        <f t="shared" si="34"/>
        <v>0</v>
      </c>
      <c r="V48" s="173">
        <f t="shared" si="30"/>
        <v>0</v>
      </c>
      <c r="W48" s="173">
        <f t="shared" si="30"/>
        <v>600000</v>
      </c>
      <c r="X48" s="181">
        <f t="shared" si="30"/>
        <v>0</v>
      </c>
    </row>
    <row r="49" spans="2:24" ht="16">
      <c r="B49" s="231" t="s">
        <v>206</v>
      </c>
      <c r="C49" s="273"/>
      <c r="D49" s="65" t="s">
        <v>15</v>
      </c>
      <c r="E49" s="65" t="s">
        <v>313</v>
      </c>
      <c r="F49" s="66"/>
      <c r="G49" s="65" t="s">
        <v>34</v>
      </c>
      <c r="H49" s="51"/>
      <c r="I49" s="51"/>
      <c r="J49" s="51"/>
      <c r="K49" s="51"/>
      <c r="L49" s="51"/>
      <c r="M49" s="56">
        <f t="shared" si="31"/>
        <v>0</v>
      </c>
      <c r="N49" s="63">
        <v>72000</v>
      </c>
      <c r="O49" s="48">
        <f t="shared" si="32"/>
        <v>0</v>
      </c>
      <c r="P49" s="48">
        <f t="shared" si="32"/>
        <v>0</v>
      </c>
      <c r="Q49" s="48">
        <f t="shared" si="32"/>
        <v>0</v>
      </c>
      <c r="R49" s="48">
        <f t="shared" si="32"/>
        <v>0</v>
      </c>
      <c r="S49" s="48">
        <f t="shared" si="32"/>
        <v>0</v>
      </c>
      <c r="T49" s="165">
        <f t="shared" si="33"/>
        <v>0</v>
      </c>
      <c r="U49" s="180">
        <f t="shared" si="34"/>
        <v>0</v>
      </c>
      <c r="V49" s="173">
        <f t="shared" si="30"/>
        <v>0</v>
      </c>
      <c r="W49" s="173">
        <f t="shared" si="30"/>
        <v>0</v>
      </c>
      <c r="X49" s="181">
        <f t="shared" si="30"/>
        <v>0</v>
      </c>
    </row>
    <row r="50" spans="2:24" ht="16">
      <c r="B50" s="231" t="s">
        <v>206</v>
      </c>
      <c r="C50" s="273"/>
      <c r="D50" s="65" t="s">
        <v>25</v>
      </c>
      <c r="E50" s="65" t="s">
        <v>313</v>
      </c>
      <c r="F50" s="66">
        <v>10</v>
      </c>
      <c r="G50" s="65" t="s">
        <v>35</v>
      </c>
      <c r="H50" s="51"/>
      <c r="I50" s="51"/>
      <c r="J50" s="51"/>
      <c r="K50" s="51"/>
      <c r="L50" s="51"/>
      <c r="M50" s="56">
        <f t="shared" si="31"/>
        <v>0</v>
      </c>
      <c r="N50" s="63">
        <v>380000</v>
      </c>
      <c r="O50" s="48">
        <f t="shared" si="32"/>
        <v>0</v>
      </c>
      <c r="P50" s="48">
        <f t="shared" si="32"/>
        <v>0</v>
      </c>
      <c r="Q50" s="48">
        <f t="shared" si="32"/>
        <v>0</v>
      </c>
      <c r="R50" s="48">
        <f t="shared" si="32"/>
        <v>0</v>
      </c>
      <c r="S50" s="48">
        <f t="shared" si="32"/>
        <v>0</v>
      </c>
      <c r="T50" s="165">
        <f t="shared" si="33"/>
        <v>0</v>
      </c>
      <c r="U50" s="180">
        <f t="shared" si="34"/>
        <v>0</v>
      </c>
      <c r="V50" s="173">
        <f t="shared" si="30"/>
        <v>0</v>
      </c>
      <c r="W50" s="173">
        <f t="shared" si="30"/>
        <v>0</v>
      </c>
      <c r="X50" s="181">
        <f t="shared" si="30"/>
        <v>0</v>
      </c>
    </row>
    <row r="51" spans="2:24" ht="16">
      <c r="B51" s="1" t="s">
        <v>211</v>
      </c>
      <c r="C51" s="273"/>
      <c r="D51" s="65" t="s">
        <v>42</v>
      </c>
      <c r="E51" s="65" t="s">
        <v>313</v>
      </c>
      <c r="F51" s="66"/>
      <c r="G51" s="65" t="s">
        <v>35</v>
      </c>
      <c r="H51" s="51"/>
      <c r="I51" s="51">
        <v>1</v>
      </c>
      <c r="J51" s="51"/>
      <c r="K51" s="51"/>
      <c r="L51" s="51"/>
      <c r="M51" s="56">
        <f t="shared" si="31"/>
        <v>1</v>
      </c>
      <c r="N51" s="63">
        <v>300000</v>
      </c>
      <c r="O51" s="48">
        <f t="shared" si="32"/>
        <v>0</v>
      </c>
      <c r="P51" s="48">
        <f t="shared" si="32"/>
        <v>300000</v>
      </c>
      <c r="Q51" s="48">
        <f t="shared" si="32"/>
        <v>0</v>
      </c>
      <c r="R51" s="48">
        <f t="shared" si="32"/>
        <v>0</v>
      </c>
      <c r="S51" s="48">
        <f t="shared" si="32"/>
        <v>0</v>
      </c>
      <c r="T51" s="165">
        <f t="shared" si="33"/>
        <v>300000</v>
      </c>
      <c r="U51" s="180">
        <f t="shared" si="34"/>
        <v>0</v>
      </c>
      <c r="V51" s="173">
        <f t="shared" si="30"/>
        <v>0</v>
      </c>
      <c r="W51" s="173">
        <f t="shared" si="30"/>
        <v>300000</v>
      </c>
      <c r="X51" s="181">
        <f t="shared" si="30"/>
        <v>0</v>
      </c>
    </row>
    <row r="52" spans="2:24" ht="33" thickBot="1">
      <c r="B52" s="231" t="s">
        <v>210</v>
      </c>
      <c r="C52" s="274"/>
      <c r="D52" s="67" t="s">
        <v>125</v>
      </c>
      <c r="E52" s="65" t="s">
        <v>313</v>
      </c>
      <c r="F52" s="68">
        <v>10</v>
      </c>
      <c r="G52" s="67" t="s">
        <v>35</v>
      </c>
      <c r="H52" s="52"/>
      <c r="I52" s="52"/>
      <c r="J52" s="52"/>
      <c r="K52" s="52"/>
      <c r="L52" s="52"/>
      <c r="M52" s="57">
        <f t="shared" si="31"/>
        <v>0</v>
      </c>
      <c r="N52" s="64">
        <v>150000</v>
      </c>
      <c r="O52" s="49">
        <f t="shared" si="32"/>
        <v>0</v>
      </c>
      <c r="P52" s="49">
        <f t="shared" si="32"/>
        <v>0</v>
      </c>
      <c r="Q52" s="49">
        <f t="shared" si="32"/>
        <v>0</v>
      </c>
      <c r="R52" s="49">
        <f t="shared" si="32"/>
        <v>0</v>
      </c>
      <c r="S52" s="49">
        <f t="shared" si="32"/>
        <v>0</v>
      </c>
      <c r="T52" s="166">
        <f t="shared" si="33"/>
        <v>0</v>
      </c>
      <c r="U52" s="180">
        <f t="shared" si="34"/>
        <v>0</v>
      </c>
      <c r="V52" s="173">
        <f t="shared" si="30"/>
        <v>0</v>
      </c>
      <c r="W52" s="173">
        <f t="shared" si="30"/>
        <v>0</v>
      </c>
      <c r="X52" s="181">
        <f t="shared" si="30"/>
        <v>0</v>
      </c>
    </row>
    <row r="53" spans="2:24" ht="16" thickBot="1">
      <c r="C53" s="9"/>
      <c r="D53" s="9"/>
      <c r="E53" s="9"/>
      <c r="F53" s="9"/>
      <c r="G53" s="9"/>
      <c r="H53" s="9"/>
      <c r="I53" s="9"/>
      <c r="J53" s="9"/>
      <c r="K53" s="9"/>
      <c r="L53" s="9"/>
      <c r="M53" s="9"/>
      <c r="N53" s="37"/>
      <c r="O53" s="37"/>
      <c r="P53" s="37"/>
      <c r="Q53" s="37"/>
      <c r="R53" s="37"/>
      <c r="S53" s="37"/>
      <c r="T53" s="37"/>
      <c r="U53" s="37"/>
      <c r="V53" s="37"/>
      <c r="W53" s="37"/>
      <c r="X53" s="37"/>
    </row>
    <row r="54" spans="2:24" s="45" customFormat="1" ht="16" thickBot="1">
      <c r="C54" s="47"/>
      <c r="D54" s="46"/>
      <c r="E54" s="46"/>
      <c r="F54" s="46"/>
      <c r="G54" s="46"/>
      <c r="H54" s="46"/>
      <c r="I54" s="46"/>
      <c r="J54" s="46"/>
      <c r="K54" s="46"/>
      <c r="L54" s="87"/>
      <c r="M54" s="88"/>
      <c r="N54" s="89" t="s">
        <v>106</v>
      </c>
      <c r="O54" s="83">
        <f>SUM(O41:O52)</f>
        <v>800000</v>
      </c>
      <c r="P54" s="84">
        <f t="shared" ref="P54:S54" si="35">SUM(P41:P52)</f>
        <v>1950000</v>
      </c>
      <c r="Q54" s="84">
        <f t="shared" si="35"/>
        <v>150000</v>
      </c>
      <c r="R54" s="84">
        <f t="shared" si="35"/>
        <v>0</v>
      </c>
      <c r="S54" s="85">
        <f t="shared" si="35"/>
        <v>0</v>
      </c>
      <c r="T54" s="61">
        <f>SUM(O54:S54)</f>
        <v>2900000</v>
      </c>
      <c r="U54" s="172">
        <f>SUM(U41:U52)</f>
        <v>0</v>
      </c>
      <c r="V54" s="174">
        <f t="shared" ref="V54:X54" si="36">SUM(V41:V52)</f>
        <v>0</v>
      </c>
      <c r="W54" s="174">
        <f t="shared" si="36"/>
        <v>2900000</v>
      </c>
      <c r="X54" s="175">
        <f t="shared" si="36"/>
        <v>0</v>
      </c>
    </row>
    <row r="55" spans="2:24">
      <c r="C55" s="9"/>
      <c r="D55" s="9"/>
      <c r="E55" s="9"/>
      <c r="F55" s="9"/>
      <c r="G55" s="9"/>
      <c r="H55" s="9"/>
      <c r="I55" s="9"/>
      <c r="J55" s="9"/>
      <c r="K55" s="9"/>
      <c r="L55" s="9"/>
      <c r="M55" s="9"/>
      <c r="N55" s="9"/>
      <c r="O55" s="3"/>
      <c r="P55" s="3"/>
      <c r="Q55" s="3"/>
      <c r="R55" s="3"/>
      <c r="S55" s="3"/>
      <c r="T55" s="12"/>
      <c r="U55" s="12"/>
      <c r="V55" s="12"/>
      <c r="W55" s="12"/>
      <c r="X55" s="12"/>
    </row>
    <row r="56" spans="2:24" ht="16" thickBot="1">
      <c r="C56" s="16"/>
      <c r="D56" s="9"/>
      <c r="E56" s="9"/>
      <c r="F56" s="9"/>
      <c r="G56" s="9"/>
      <c r="H56" s="9"/>
      <c r="I56" s="9"/>
      <c r="J56" s="5"/>
      <c r="K56" s="5"/>
      <c r="L56" s="5"/>
      <c r="M56" s="5"/>
      <c r="N56" s="4"/>
      <c r="O56" s="41"/>
      <c r="P56" s="41"/>
      <c r="Q56" s="41"/>
      <c r="R56" s="41"/>
      <c r="S56" s="41"/>
      <c r="T56" s="42"/>
      <c r="U56" s="42"/>
      <c r="V56" s="42"/>
      <c r="W56" s="42"/>
      <c r="X56" s="42"/>
    </row>
    <row r="57" spans="2:24" s="71" customFormat="1" ht="48">
      <c r="C57" s="75" t="s">
        <v>101</v>
      </c>
      <c r="D57" s="74" t="s">
        <v>7</v>
      </c>
      <c r="E57" s="74" t="str">
        <f>E18</f>
        <v>Fin.
AFD, EU, GCF, GVNT</v>
      </c>
      <c r="F57" s="74" t="str">
        <f>F18</f>
        <v>Durée de vie (an)</v>
      </c>
      <c r="G57" s="74" t="s">
        <v>33</v>
      </c>
      <c r="H57" s="72">
        <v>2021</v>
      </c>
      <c r="I57" s="72">
        <v>2022</v>
      </c>
      <c r="J57" s="72">
        <v>2023</v>
      </c>
      <c r="K57" s="72">
        <v>2024</v>
      </c>
      <c r="L57" s="72">
        <v>2025</v>
      </c>
      <c r="M57" s="69" t="s">
        <v>44</v>
      </c>
      <c r="N57" s="62" t="s">
        <v>45</v>
      </c>
      <c r="O57" s="73" t="s">
        <v>9</v>
      </c>
      <c r="P57" s="73" t="s">
        <v>10</v>
      </c>
      <c r="Q57" s="73" t="s">
        <v>11</v>
      </c>
      <c r="R57" s="73" t="s">
        <v>12</v>
      </c>
      <c r="S57" s="73" t="s">
        <v>47</v>
      </c>
      <c r="T57" s="176" t="s">
        <v>28</v>
      </c>
      <c r="U57" s="185"/>
      <c r="V57" s="186"/>
      <c r="W57" s="186"/>
      <c r="X57" s="187"/>
    </row>
    <row r="58" spans="2:24" ht="23.5" customHeight="1">
      <c r="B58" s="231" t="s">
        <v>207</v>
      </c>
      <c r="C58" s="277" t="s">
        <v>48</v>
      </c>
      <c r="D58" s="65" t="s">
        <v>53</v>
      </c>
      <c r="E58" s="65" t="s">
        <v>312</v>
      </c>
      <c r="F58" s="66"/>
      <c r="G58" s="65" t="s">
        <v>39</v>
      </c>
      <c r="H58" s="51">
        <v>1</v>
      </c>
      <c r="I58" s="51">
        <v>1</v>
      </c>
      <c r="J58" s="51"/>
      <c r="K58" s="51"/>
      <c r="L58" s="51"/>
      <c r="M58" s="56">
        <f t="shared" ref="M58" si="37">SUM(H58:L58)</f>
        <v>2</v>
      </c>
      <c r="N58" s="63">
        <v>300000</v>
      </c>
      <c r="O58" s="48">
        <f>H58*$N58</f>
        <v>300000</v>
      </c>
      <c r="P58" s="48">
        <f>I58*$N58</f>
        <v>300000</v>
      </c>
      <c r="Q58" s="48">
        <f>J58*$N58</f>
        <v>0</v>
      </c>
      <c r="R58" s="48">
        <f>K58*$N58</f>
        <v>0</v>
      </c>
      <c r="S58" s="48">
        <f>L58*$N58</f>
        <v>0</v>
      </c>
      <c r="T58" s="59">
        <f>SUM(O58:S58)</f>
        <v>600000</v>
      </c>
      <c r="U58" s="180">
        <f>IF($E58=U$3,$T58,0)</f>
        <v>0</v>
      </c>
      <c r="V58" s="173">
        <f t="shared" ref="V58:X64" si="38">IF($E58=V$3,$T58,0)</f>
        <v>600000</v>
      </c>
      <c r="W58" s="173">
        <f t="shared" si="38"/>
        <v>0</v>
      </c>
      <c r="X58" s="181">
        <f t="shared" si="38"/>
        <v>0</v>
      </c>
    </row>
    <row r="59" spans="2:24" ht="16">
      <c r="B59" s="231" t="s">
        <v>207</v>
      </c>
      <c r="C59" s="273"/>
      <c r="D59" s="76" t="s">
        <v>50</v>
      </c>
      <c r="E59" s="65" t="s">
        <v>312</v>
      </c>
      <c r="F59" s="77"/>
      <c r="G59" s="76" t="s">
        <v>34</v>
      </c>
      <c r="H59" s="78">
        <v>10</v>
      </c>
      <c r="I59" s="78">
        <v>10</v>
      </c>
      <c r="J59" s="78">
        <v>10</v>
      </c>
      <c r="K59" s="78">
        <v>10</v>
      </c>
      <c r="L59" s="78">
        <v>10</v>
      </c>
      <c r="M59" s="79">
        <f t="shared" ref="M59:M63" si="39">SUM(H59:L59)</f>
        <v>50</v>
      </c>
      <c r="N59" s="80">
        <v>15000</v>
      </c>
      <c r="O59" s="81">
        <f t="shared" ref="O59:S64" si="40">H59*$N59</f>
        <v>150000</v>
      </c>
      <c r="P59" s="81">
        <f t="shared" si="40"/>
        <v>150000</v>
      </c>
      <c r="Q59" s="81">
        <f t="shared" si="40"/>
        <v>150000</v>
      </c>
      <c r="R59" s="81">
        <f t="shared" si="40"/>
        <v>150000</v>
      </c>
      <c r="S59" s="81">
        <f t="shared" si="40"/>
        <v>150000</v>
      </c>
      <c r="T59" s="168">
        <f t="shared" ref="T59:T64" si="41">SUM(O59:S59)</f>
        <v>750000</v>
      </c>
      <c r="U59" s="180">
        <f t="shared" ref="U59:U64" si="42">IF($E59=U$3,$T59,0)</f>
        <v>0</v>
      </c>
      <c r="V59" s="173">
        <f t="shared" si="38"/>
        <v>750000</v>
      </c>
      <c r="W59" s="173">
        <f t="shared" si="38"/>
        <v>0</v>
      </c>
      <c r="X59" s="181">
        <f t="shared" si="38"/>
        <v>0</v>
      </c>
    </row>
    <row r="60" spans="2:24" ht="30" customHeight="1">
      <c r="B60" s="231" t="s">
        <v>207</v>
      </c>
      <c r="C60" s="273"/>
      <c r="D60" s="76" t="s">
        <v>51</v>
      </c>
      <c r="E60" s="65" t="s">
        <v>312</v>
      </c>
      <c r="F60" s="77"/>
      <c r="G60" s="76" t="s">
        <v>34</v>
      </c>
      <c r="H60" s="78"/>
      <c r="I60" s="78"/>
      <c r="J60" s="78"/>
      <c r="K60" s="78"/>
      <c r="L60" s="78"/>
      <c r="M60" s="79">
        <f t="shared" si="39"/>
        <v>0</v>
      </c>
      <c r="N60" s="80">
        <v>5000</v>
      </c>
      <c r="O60" s="81">
        <f t="shared" si="40"/>
        <v>0</v>
      </c>
      <c r="P60" s="81">
        <f t="shared" si="40"/>
        <v>0</v>
      </c>
      <c r="Q60" s="81">
        <f t="shared" si="40"/>
        <v>0</v>
      </c>
      <c r="R60" s="81">
        <f t="shared" si="40"/>
        <v>0</v>
      </c>
      <c r="S60" s="81">
        <f t="shared" si="40"/>
        <v>0</v>
      </c>
      <c r="T60" s="168">
        <f t="shared" si="41"/>
        <v>0</v>
      </c>
      <c r="U60" s="180">
        <f t="shared" si="42"/>
        <v>0</v>
      </c>
      <c r="V60" s="173">
        <f t="shared" si="38"/>
        <v>0</v>
      </c>
      <c r="W60" s="173">
        <f t="shared" si="38"/>
        <v>0</v>
      </c>
      <c r="X60" s="181">
        <f t="shared" si="38"/>
        <v>0</v>
      </c>
    </row>
    <row r="61" spans="2:24" ht="16">
      <c r="B61" s="231" t="s">
        <v>207</v>
      </c>
      <c r="C61" s="273"/>
      <c r="D61" s="76" t="s">
        <v>52</v>
      </c>
      <c r="E61" s="65" t="s">
        <v>312</v>
      </c>
      <c r="F61" s="77"/>
      <c r="G61" s="76" t="s">
        <v>34</v>
      </c>
      <c r="H61" s="78">
        <v>1</v>
      </c>
      <c r="I61" s="78">
        <v>1</v>
      </c>
      <c r="J61" s="78"/>
      <c r="K61" s="78"/>
      <c r="L61" s="78"/>
      <c r="M61" s="79">
        <f t="shared" si="39"/>
        <v>2</v>
      </c>
      <c r="N61" s="80">
        <v>50000</v>
      </c>
      <c r="O61" s="81">
        <f t="shared" si="40"/>
        <v>50000</v>
      </c>
      <c r="P61" s="81">
        <f t="shared" si="40"/>
        <v>50000</v>
      </c>
      <c r="Q61" s="81">
        <f t="shared" si="40"/>
        <v>0</v>
      </c>
      <c r="R61" s="81">
        <f t="shared" si="40"/>
        <v>0</v>
      </c>
      <c r="S61" s="81">
        <f t="shared" si="40"/>
        <v>0</v>
      </c>
      <c r="T61" s="168">
        <f t="shared" si="41"/>
        <v>100000</v>
      </c>
      <c r="U61" s="180">
        <f t="shared" si="42"/>
        <v>0</v>
      </c>
      <c r="V61" s="173">
        <f t="shared" si="38"/>
        <v>100000</v>
      </c>
      <c r="W61" s="173">
        <f t="shared" si="38"/>
        <v>0</v>
      </c>
      <c r="X61" s="181">
        <f t="shared" si="38"/>
        <v>0</v>
      </c>
    </row>
    <row r="62" spans="2:24" ht="48">
      <c r="B62" s="231" t="s">
        <v>199</v>
      </c>
      <c r="C62" s="273"/>
      <c r="D62" s="76" t="s">
        <v>80</v>
      </c>
      <c r="E62" s="65" t="s">
        <v>312</v>
      </c>
      <c r="F62" s="77"/>
      <c r="G62" s="76" t="s">
        <v>39</v>
      </c>
      <c r="H62" s="78"/>
      <c r="I62" s="78">
        <v>1</v>
      </c>
      <c r="J62" s="78"/>
      <c r="K62" s="78"/>
      <c r="L62" s="78"/>
      <c r="M62" s="79">
        <f t="shared" si="39"/>
        <v>1</v>
      </c>
      <c r="N62" s="80">
        <v>300000</v>
      </c>
      <c r="O62" s="81">
        <f t="shared" si="40"/>
        <v>0</v>
      </c>
      <c r="P62" s="81">
        <f t="shared" si="40"/>
        <v>300000</v>
      </c>
      <c r="Q62" s="81">
        <f t="shared" si="40"/>
        <v>0</v>
      </c>
      <c r="R62" s="81">
        <f t="shared" si="40"/>
        <v>0</v>
      </c>
      <c r="S62" s="81">
        <f t="shared" si="40"/>
        <v>0</v>
      </c>
      <c r="T62" s="168">
        <f t="shared" si="41"/>
        <v>300000</v>
      </c>
      <c r="U62" s="180">
        <f t="shared" si="42"/>
        <v>0</v>
      </c>
      <c r="V62" s="173">
        <f t="shared" si="38"/>
        <v>300000</v>
      </c>
      <c r="W62" s="173">
        <f t="shared" si="38"/>
        <v>0</v>
      </c>
      <c r="X62" s="181">
        <f t="shared" si="38"/>
        <v>0</v>
      </c>
    </row>
    <row r="63" spans="2:24" ht="32">
      <c r="B63" s="231" t="s">
        <v>208</v>
      </c>
      <c r="C63" s="273"/>
      <c r="D63" s="76" t="s">
        <v>54</v>
      </c>
      <c r="E63" s="65" t="s">
        <v>312</v>
      </c>
      <c r="F63" s="77"/>
      <c r="G63" s="76" t="s">
        <v>39</v>
      </c>
      <c r="H63" s="78"/>
      <c r="I63" s="78"/>
      <c r="J63" s="78">
        <v>1</v>
      </c>
      <c r="K63" s="78"/>
      <c r="L63" s="78"/>
      <c r="M63" s="79">
        <f t="shared" si="39"/>
        <v>1</v>
      </c>
      <c r="N63" s="80">
        <v>300000</v>
      </c>
      <c r="O63" s="81">
        <f t="shared" si="40"/>
        <v>0</v>
      </c>
      <c r="P63" s="81">
        <f t="shared" si="40"/>
        <v>0</v>
      </c>
      <c r="Q63" s="81">
        <f t="shared" si="40"/>
        <v>300000</v>
      </c>
      <c r="R63" s="81">
        <f t="shared" si="40"/>
        <v>0</v>
      </c>
      <c r="S63" s="81">
        <f t="shared" si="40"/>
        <v>0</v>
      </c>
      <c r="T63" s="168">
        <f t="shared" si="41"/>
        <v>300000</v>
      </c>
      <c r="U63" s="180">
        <f t="shared" si="42"/>
        <v>0</v>
      </c>
      <c r="V63" s="173">
        <f t="shared" si="38"/>
        <v>300000</v>
      </c>
      <c r="W63" s="173">
        <f t="shared" si="38"/>
        <v>0</v>
      </c>
      <c r="X63" s="181">
        <f t="shared" si="38"/>
        <v>0</v>
      </c>
    </row>
    <row r="64" spans="2:24" ht="76.25" customHeight="1" thickBot="1">
      <c r="B64" s="231" t="s">
        <v>215</v>
      </c>
      <c r="C64" s="274"/>
      <c r="D64" s="67" t="s">
        <v>55</v>
      </c>
      <c r="E64" s="65" t="s">
        <v>312</v>
      </c>
      <c r="F64" s="68"/>
      <c r="G64" s="67" t="s">
        <v>39</v>
      </c>
      <c r="H64" s="52"/>
      <c r="I64" s="52"/>
      <c r="J64" s="52"/>
      <c r="K64" s="52">
        <v>1</v>
      </c>
      <c r="L64" s="52"/>
      <c r="M64" s="57">
        <f>SUM(H64:L64)</f>
        <v>1</v>
      </c>
      <c r="N64" s="64">
        <v>300000</v>
      </c>
      <c r="O64" s="49">
        <f t="shared" si="40"/>
        <v>0</v>
      </c>
      <c r="P64" s="49">
        <f t="shared" si="40"/>
        <v>0</v>
      </c>
      <c r="Q64" s="49">
        <f t="shared" si="40"/>
        <v>0</v>
      </c>
      <c r="R64" s="49">
        <f t="shared" si="40"/>
        <v>300000</v>
      </c>
      <c r="S64" s="49">
        <f t="shared" si="40"/>
        <v>0</v>
      </c>
      <c r="T64" s="166">
        <f t="shared" si="41"/>
        <v>300000</v>
      </c>
      <c r="U64" s="180">
        <f t="shared" si="42"/>
        <v>0</v>
      </c>
      <c r="V64" s="173">
        <f t="shared" si="38"/>
        <v>300000</v>
      </c>
      <c r="W64" s="173">
        <f t="shared" si="38"/>
        <v>0</v>
      </c>
      <c r="X64" s="181">
        <f t="shared" si="38"/>
        <v>0</v>
      </c>
    </row>
    <row r="65" spans="2:24" ht="16" thickBot="1">
      <c r="B65" s="45"/>
      <c r="C65" s="16"/>
      <c r="D65" s="9"/>
      <c r="E65" s="9"/>
      <c r="F65" s="9"/>
      <c r="G65" s="9"/>
      <c r="H65" s="9"/>
      <c r="I65" s="9"/>
      <c r="J65" s="5"/>
      <c r="K65" s="5"/>
      <c r="L65" s="5"/>
      <c r="M65" s="5"/>
      <c r="N65" s="4"/>
      <c r="O65" s="39"/>
      <c r="P65" s="39"/>
      <c r="Q65" s="40"/>
      <c r="R65" s="40"/>
      <c r="S65" s="40"/>
      <c r="T65" s="41"/>
      <c r="U65" s="41"/>
      <c r="V65" s="41"/>
      <c r="W65" s="41"/>
      <c r="X65" s="41"/>
    </row>
    <row r="66" spans="2:24" s="45" customFormat="1" ht="16" thickBot="1">
      <c r="B66" s="2"/>
      <c r="C66" s="47"/>
      <c r="D66" s="46"/>
      <c r="E66" s="46"/>
      <c r="F66" s="46"/>
      <c r="G66" s="46"/>
      <c r="H66" s="46"/>
      <c r="I66" s="46"/>
      <c r="J66" s="46"/>
      <c r="K66" s="46"/>
      <c r="L66" s="87"/>
      <c r="M66" s="88"/>
      <c r="N66" s="88" t="s">
        <v>108</v>
      </c>
      <c r="O66" s="228">
        <f>SUM(O58:O64)</f>
        <v>500000</v>
      </c>
      <c r="P66" s="229">
        <f t="shared" ref="P66:S66" si="43">SUM(P58:P64)</f>
        <v>800000</v>
      </c>
      <c r="Q66" s="229">
        <f t="shared" si="43"/>
        <v>450000</v>
      </c>
      <c r="R66" s="229">
        <f t="shared" si="43"/>
        <v>450000</v>
      </c>
      <c r="S66" s="230">
        <f t="shared" si="43"/>
        <v>150000</v>
      </c>
      <c r="T66" s="227">
        <f>SUM(O66:S66)</f>
        <v>2350000</v>
      </c>
      <c r="U66" s="172">
        <f>SUM(U58:U64)</f>
        <v>0</v>
      </c>
      <c r="V66" s="174">
        <f>SUM(V58:V64)</f>
        <v>2350000</v>
      </c>
      <c r="W66" s="174">
        <f>SUM(W58:W64)</f>
        <v>0</v>
      </c>
      <c r="X66" s="175">
        <f>SUM(X58:X64)</f>
        <v>0</v>
      </c>
    </row>
    <row r="67" spans="2:24" s="2" customFormat="1">
      <c r="B67" s="1"/>
      <c r="C67" s="16"/>
      <c r="D67" s="9"/>
      <c r="E67" s="9"/>
      <c r="F67" s="9"/>
      <c r="G67" s="9"/>
      <c r="H67" s="9"/>
      <c r="I67" s="9"/>
      <c r="J67" s="5"/>
      <c r="K67" s="5"/>
      <c r="L67" s="5"/>
      <c r="M67" s="5"/>
      <c r="N67" s="4"/>
      <c r="O67" s="41"/>
      <c r="P67" s="41"/>
      <c r="Q67" s="41"/>
      <c r="R67" s="41"/>
      <c r="S67" s="41"/>
      <c r="T67" s="42"/>
      <c r="U67" s="42"/>
      <c r="V67" s="42"/>
      <c r="W67" s="42"/>
      <c r="X67" s="42"/>
    </row>
    <row r="68" spans="2:24" ht="16" thickBot="1">
      <c r="B68" s="71"/>
      <c r="C68" s="16"/>
      <c r="D68" s="9"/>
      <c r="E68" s="9"/>
      <c r="F68" s="9"/>
      <c r="G68" s="9"/>
      <c r="H68" s="9"/>
      <c r="I68" s="9"/>
      <c r="J68" s="5"/>
      <c r="K68" s="5"/>
      <c r="L68" s="5"/>
      <c r="M68" s="5"/>
      <c r="N68" s="4"/>
      <c r="O68" s="41"/>
      <c r="P68" s="41"/>
      <c r="Q68" s="41"/>
      <c r="R68" s="41"/>
      <c r="S68" s="41"/>
      <c r="T68" s="42"/>
      <c r="U68" s="42"/>
      <c r="V68" s="42"/>
      <c r="W68" s="42"/>
      <c r="X68" s="42"/>
    </row>
    <row r="69" spans="2:24" s="71" customFormat="1" ht="48">
      <c r="B69" s="1"/>
      <c r="C69" s="75" t="s">
        <v>101</v>
      </c>
      <c r="D69" s="74" t="s">
        <v>7</v>
      </c>
      <c r="E69" s="74" t="str">
        <f>E18</f>
        <v>Fin.
AFD, EU, GCF, GVNT</v>
      </c>
      <c r="F69" s="74" t="str">
        <f>F18</f>
        <v>Durée de vie (an)</v>
      </c>
      <c r="G69" s="74" t="s">
        <v>33</v>
      </c>
      <c r="H69" s="72">
        <v>2021</v>
      </c>
      <c r="I69" s="72">
        <v>2022</v>
      </c>
      <c r="J69" s="72">
        <v>2023</v>
      </c>
      <c r="K69" s="72">
        <v>2024</v>
      </c>
      <c r="L69" s="72">
        <v>2025</v>
      </c>
      <c r="M69" s="69" t="s">
        <v>44</v>
      </c>
      <c r="N69" s="62" t="s">
        <v>45</v>
      </c>
      <c r="O69" s="73" t="s">
        <v>9</v>
      </c>
      <c r="P69" s="73" t="s">
        <v>10</v>
      </c>
      <c r="Q69" s="73" t="s">
        <v>11</v>
      </c>
      <c r="R69" s="73" t="s">
        <v>12</v>
      </c>
      <c r="S69" s="73" t="s">
        <v>47</v>
      </c>
      <c r="T69" s="176" t="s">
        <v>28</v>
      </c>
      <c r="U69" s="185"/>
      <c r="V69" s="186"/>
      <c r="W69" s="186"/>
      <c r="X69" s="187"/>
    </row>
    <row r="70" spans="2:24" ht="16">
      <c r="B70" s="231" t="s">
        <v>207</v>
      </c>
      <c r="C70" s="277" t="s">
        <v>49</v>
      </c>
      <c r="D70" s="65" t="s">
        <v>69</v>
      </c>
      <c r="E70" s="65" t="s">
        <v>312</v>
      </c>
      <c r="F70" s="66"/>
      <c r="G70" s="65" t="s">
        <v>65</v>
      </c>
      <c r="H70" s="51"/>
      <c r="I70" s="51">
        <v>0.25</v>
      </c>
      <c r="J70" s="51">
        <v>0.75</v>
      </c>
      <c r="K70" s="51"/>
      <c r="L70" s="51"/>
      <c r="M70" s="139">
        <f>SUM(H70:L70)</f>
        <v>1</v>
      </c>
      <c r="N70" s="63">
        <v>500000</v>
      </c>
      <c r="O70" s="48">
        <f>H70*$N70</f>
        <v>0</v>
      </c>
      <c r="P70" s="48">
        <f>I70*$N70</f>
        <v>125000</v>
      </c>
      <c r="Q70" s="48">
        <f>J70*$N70</f>
        <v>375000</v>
      </c>
      <c r="R70" s="48">
        <f>K70*$N70</f>
        <v>0</v>
      </c>
      <c r="S70" s="48">
        <f>L70*$N70</f>
        <v>0</v>
      </c>
      <c r="T70" s="165">
        <f>SUM(O70:S70)</f>
        <v>500000</v>
      </c>
      <c r="U70" s="180">
        <f>IF($E70=U$3,$T70,0)</f>
        <v>0</v>
      </c>
      <c r="V70" s="173">
        <f t="shared" ref="V70:X74" si="44">IF($E70=V$3,$T70,0)</f>
        <v>500000</v>
      </c>
      <c r="W70" s="173">
        <f t="shared" si="44"/>
        <v>0</v>
      </c>
      <c r="X70" s="181">
        <f t="shared" si="44"/>
        <v>0</v>
      </c>
    </row>
    <row r="71" spans="2:24" ht="32">
      <c r="B71" s="231" t="s">
        <v>208</v>
      </c>
      <c r="C71" s="273"/>
      <c r="D71" s="76" t="s">
        <v>66</v>
      </c>
      <c r="E71" s="76" t="s">
        <v>312</v>
      </c>
      <c r="F71" s="77"/>
      <c r="G71" s="76" t="s">
        <v>65</v>
      </c>
      <c r="H71" s="78">
        <v>0.5</v>
      </c>
      <c r="I71" s="78">
        <v>0.5</v>
      </c>
      <c r="J71" s="78"/>
      <c r="K71" s="78"/>
      <c r="L71" s="78"/>
      <c r="M71" s="139">
        <f t="shared" ref="M71:M73" si="45">SUM(H71:L71)</f>
        <v>1</v>
      </c>
      <c r="N71" s="80">
        <v>360000</v>
      </c>
      <c r="O71" s="81">
        <f t="shared" ref="O71:S74" si="46">H71*$N71</f>
        <v>180000</v>
      </c>
      <c r="P71" s="81">
        <f t="shared" si="46"/>
        <v>180000</v>
      </c>
      <c r="Q71" s="81">
        <f t="shared" si="46"/>
        <v>0</v>
      </c>
      <c r="R71" s="81">
        <f t="shared" si="46"/>
        <v>0</v>
      </c>
      <c r="S71" s="81">
        <f t="shared" si="46"/>
        <v>0</v>
      </c>
      <c r="T71" s="168">
        <f t="shared" ref="T71:T74" si="47">SUM(O71:S71)</f>
        <v>360000</v>
      </c>
      <c r="U71" s="180">
        <f t="shared" ref="U71:U74" si="48">IF($E71=U$3,$T71,0)</f>
        <v>0</v>
      </c>
      <c r="V71" s="173">
        <f t="shared" si="44"/>
        <v>360000</v>
      </c>
      <c r="W71" s="173">
        <f t="shared" si="44"/>
        <v>0</v>
      </c>
      <c r="X71" s="181">
        <f t="shared" si="44"/>
        <v>0</v>
      </c>
    </row>
    <row r="72" spans="2:24" ht="16">
      <c r="B72" s="231" t="s">
        <v>210</v>
      </c>
      <c r="C72" s="273"/>
      <c r="D72" s="76" t="s">
        <v>292</v>
      </c>
      <c r="E72" s="65" t="s">
        <v>313</v>
      </c>
      <c r="F72" s="77"/>
      <c r="G72" s="76" t="s">
        <v>39</v>
      </c>
      <c r="H72" s="78"/>
      <c r="I72" s="78">
        <v>1</v>
      </c>
      <c r="J72" s="51">
        <v>1</v>
      </c>
      <c r="K72" s="51">
        <v>1</v>
      </c>
      <c r="L72" s="78"/>
      <c r="M72" s="139">
        <f t="shared" si="45"/>
        <v>3</v>
      </c>
      <c r="N72" s="80">
        <v>150000</v>
      </c>
      <c r="O72" s="81">
        <f t="shared" si="46"/>
        <v>0</v>
      </c>
      <c r="P72" s="81">
        <f t="shared" si="46"/>
        <v>150000</v>
      </c>
      <c r="Q72" s="81">
        <f t="shared" si="46"/>
        <v>150000</v>
      </c>
      <c r="R72" s="81">
        <f t="shared" si="46"/>
        <v>150000</v>
      </c>
      <c r="S72" s="81">
        <f t="shared" si="46"/>
        <v>0</v>
      </c>
      <c r="T72" s="168">
        <f t="shared" si="47"/>
        <v>450000</v>
      </c>
      <c r="U72" s="180">
        <f t="shared" si="48"/>
        <v>0</v>
      </c>
      <c r="V72" s="173">
        <f t="shared" si="44"/>
        <v>0</v>
      </c>
      <c r="W72" s="173">
        <f t="shared" si="44"/>
        <v>450000</v>
      </c>
      <c r="X72" s="181">
        <f t="shared" si="44"/>
        <v>0</v>
      </c>
    </row>
    <row r="73" spans="2:24" ht="16">
      <c r="B73" s="231" t="s">
        <v>210</v>
      </c>
      <c r="C73" s="273"/>
      <c r="D73" s="76" t="s">
        <v>294</v>
      </c>
      <c r="E73" s="65" t="s">
        <v>313</v>
      </c>
      <c r="F73" s="77"/>
      <c r="G73" s="76" t="s">
        <v>39</v>
      </c>
      <c r="H73" s="78"/>
      <c r="I73" s="78"/>
      <c r="J73" s="137"/>
      <c r="K73" s="78"/>
      <c r="L73" s="137"/>
      <c r="M73" s="139">
        <f t="shared" si="45"/>
        <v>0</v>
      </c>
      <c r="N73" s="80">
        <v>150000</v>
      </c>
      <c r="O73" s="81">
        <f t="shared" si="46"/>
        <v>0</v>
      </c>
      <c r="P73" s="81">
        <f t="shared" si="46"/>
        <v>0</v>
      </c>
      <c r="Q73" s="81">
        <f t="shared" si="46"/>
        <v>0</v>
      </c>
      <c r="R73" s="81">
        <f t="shared" si="46"/>
        <v>0</v>
      </c>
      <c r="S73" s="81">
        <f t="shared" si="46"/>
        <v>0</v>
      </c>
      <c r="T73" s="168">
        <f t="shared" si="47"/>
        <v>0</v>
      </c>
      <c r="U73" s="180">
        <f t="shared" si="48"/>
        <v>0</v>
      </c>
      <c r="V73" s="173">
        <f t="shared" si="44"/>
        <v>0</v>
      </c>
      <c r="W73" s="173">
        <f t="shared" si="44"/>
        <v>0</v>
      </c>
      <c r="X73" s="181">
        <f t="shared" si="44"/>
        <v>0</v>
      </c>
    </row>
    <row r="74" spans="2:24" ht="17" thickBot="1">
      <c r="B74" s="231" t="s">
        <v>210</v>
      </c>
      <c r="C74" s="274"/>
      <c r="D74" s="67" t="s">
        <v>295</v>
      </c>
      <c r="E74" s="65" t="s">
        <v>313</v>
      </c>
      <c r="F74" s="68"/>
      <c r="G74" s="67" t="s">
        <v>39</v>
      </c>
      <c r="H74" s="52">
        <v>1</v>
      </c>
      <c r="I74" s="52">
        <v>1</v>
      </c>
      <c r="J74" s="52">
        <v>1</v>
      </c>
      <c r="K74" s="138"/>
      <c r="L74" s="52"/>
      <c r="M74" s="140">
        <f>SUM(H74:L74)</f>
        <v>3</v>
      </c>
      <c r="N74" s="64">
        <v>150000</v>
      </c>
      <c r="O74" s="49">
        <f t="shared" si="46"/>
        <v>150000</v>
      </c>
      <c r="P74" s="49">
        <f t="shared" si="46"/>
        <v>150000</v>
      </c>
      <c r="Q74" s="49">
        <f t="shared" si="46"/>
        <v>150000</v>
      </c>
      <c r="R74" s="49">
        <f t="shared" si="46"/>
        <v>0</v>
      </c>
      <c r="S74" s="49">
        <f t="shared" si="46"/>
        <v>0</v>
      </c>
      <c r="T74" s="166">
        <f t="shared" si="47"/>
        <v>450000</v>
      </c>
      <c r="U74" s="180">
        <f t="shared" si="48"/>
        <v>0</v>
      </c>
      <c r="V74" s="173">
        <f t="shared" si="44"/>
        <v>0</v>
      </c>
      <c r="W74" s="173">
        <f t="shared" si="44"/>
        <v>450000</v>
      </c>
      <c r="X74" s="181">
        <f t="shared" si="44"/>
        <v>0</v>
      </c>
    </row>
    <row r="75" spans="2:24" ht="16" thickBot="1">
      <c r="B75" s="45"/>
      <c r="C75" s="16"/>
      <c r="D75" s="9"/>
      <c r="E75" s="9"/>
      <c r="F75" s="9"/>
      <c r="G75" s="9"/>
      <c r="H75" s="9"/>
      <c r="I75" s="9"/>
      <c r="J75" s="5"/>
      <c r="K75" s="5"/>
      <c r="L75" s="5"/>
      <c r="M75" s="5"/>
      <c r="N75" s="4"/>
      <c r="O75" s="39"/>
      <c r="P75" s="39"/>
      <c r="Q75" s="40"/>
      <c r="R75" s="40"/>
      <c r="S75" s="40"/>
      <c r="T75" s="41"/>
      <c r="U75" s="41"/>
      <c r="V75" s="41"/>
      <c r="W75" s="41"/>
      <c r="X75" s="41"/>
    </row>
    <row r="76" spans="2:24" s="45" customFormat="1" ht="16" thickBot="1">
      <c r="B76" s="2"/>
      <c r="C76" s="47"/>
      <c r="D76" s="46"/>
      <c r="E76" s="46"/>
      <c r="F76" s="46"/>
      <c r="G76" s="46"/>
      <c r="H76" s="46"/>
      <c r="I76" s="46"/>
      <c r="J76" s="46"/>
      <c r="K76" s="46"/>
      <c r="L76" s="87"/>
      <c r="M76" s="88"/>
      <c r="N76" s="89" t="s">
        <v>109</v>
      </c>
      <c r="O76" s="83">
        <f>SUM(O70:O74)</f>
        <v>330000</v>
      </c>
      <c r="P76" s="84">
        <f>SUM(P70:P74)</f>
        <v>605000</v>
      </c>
      <c r="Q76" s="84">
        <f>SUM(Q70:Q74)</f>
        <v>675000</v>
      </c>
      <c r="R76" s="84">
        <f>SUM(R70:R74)</f>
        <v>150000</v>
      </c>
      <c r="S76" s="85">
        <f>SUM(S70:S74)</f>
        <v>0</v>
      </c>
      <c r="T76" s="61">
        <f>SUM(O76:S76)</f>
        <v>1760000</v>
      </c>
      <c r="U76" s="172">
        <f>SUM(U70:U74)</f>
        <v>0</v>
      </c>
      <c r="V76" s="174">
        <f t="shared" ref="V76:X76" si="49">SUM(V70:V74)</f>
        <v>860000</v>
      </c>
      <c r="W76" s="174">
        <f>SUM(W70:W74)</f>
        <v>900000</v>
      </c>
      <c r="X76" s="175">
        <f t="shared" si="49"/>
        <v>0</v>
      </c>
    </row>
    <row r="77" spans="2:24" s="2" customFormat="1">
      <c r="B77" s="1"/>
      <c r="C77" s="16"/>
      <c r="D77" s="9"/>
      <c r="E77" s="9"/>
      <c r="F77" s="9"/>
      <c r="G77" s="9"/>
      <c r="H77" s="9"/>
      <c r="I77" s="9"/>
      <c r="J77" s="5"/>
      <c r="K77" s="5"/>
      <c r="L77" s="5"/>
      <c r="M77" s="5"/>
      <c r="N77" s="4"/>
      <c r="O77" s="41"/>
      <c r="P77" s="41"/>
      <c r="Q77" s="41"/>
      <c r="R77" s="41"/>
      <c r="S77" s="41"/>
      <c r="T77" s="42"/>
      <c r="U77" s="42"/>
      <c r="V77" s="42"/>
      <c r="W77" s="42"/>
      <c r="X77" s="42"/>
    </row>
    <row r="78" spans="2:24">
      <c r="C78" s="16"/>
      <c r="D78" s="9"/>
      <c r="E78" s="9"/>
      <c r="F78" s="9"/>
      <c r="G78" s="9"/>
      <c r="H78" s="9"/>
      <c r="I78" s="9"/>
      <c r="J78" s="5"/>
      <c r="K78" s="5"/>
      <c r="L78" s="5"/>
      <c r="M78" s="5"/>
      <c r="N78" s="4"/>
      <c r="O78" s="41"/>
      <c r="P78" s="41"/>
      <c r="Q78" s="41"/>
      <c r="R78" s="41"/>
      <c r="S78" s="41"/>
      <c r="T78" s="42"/>
      <c r="U78" s="42"/>
      <c r="V78" s="42"/>
      <c r="W78" s="42"/>
      <c r="X78" s="42"/>
    </row>
    <row r="79" spans="2:24" ht="16" thickBot="1">
      <c r="C79" s="16"/>
      <c r="D79" s="9"/>
      <c r="E79" s="9"/>
      <c r="F79" s="9"/>
      <c r="G79" s="9"/>
      <c r="H79" s="9"/>
      <c r="I79" s="9"/>
      <c r="J79" s="5"/>
      <c r="K79" s="5"/>
      <c r="L79" s="5"/>
      <c r="M79" s="5"/>
      <c r="N79" s="4"/>
      <c r="O79" s="41"/>
      <c r="P79" s="41"/>
      <c r="Q79" s="41"/>
      <c r="R79" s="41"/>
      <c r="S79" s="41"/>
      <c r="T79" s="42"/>
      <c r="U79" s="42"/>
      <c r="V79" s="42"/>
      <c r="W79" s="42"/>
      <c r="X79" s="42"/>
    </row>
    <row r="80" spans="2:24" ht="33" thickBot="1">
      <c r="B80" s="45"/>
      <c r="C80" s="91"/>
      <c r="D80" s="92"/>
      <c r="E80" s="92"/>
      <c r="F80" s="92"/>
      <c r="G80" s="92"/>
      <c r="H80" s="92"/>
      <c r="I80" s="92"/>
      <c r="J80" s="93"/>
      <c r="K80" s="93"/>
      <c r="L80" s="93"/>
      <c r="M80" s="93"/>
      <c r="N80" s="94"/>
      <c r="O80" s="100" t="s">
        <v>73</v>
      </c>
      <c r="P80" s="100" t="s">
        <v>47</v>
      </c>
      <c r="Q80" s="100" t="s">
        <v>74</v>
      </c>
      <c r="R80" s="100" t="s">
        <v>75</v>
      </c>
      <c r="S80" s="101" t="s">
        <v>76</v>
      </c>
      <c r="T80" s="105" t="s">
        <v>63</v>
      </c>
      <c r="U80" s="169"/>
      <c r="V80" s="169"/>
      <c r="W80" s="169"/>
      <c r="X80" s="169"/>
    </row>
    <row r="81" spans="2:24" s="45" customFormat="1" ht="16" thickBot="1">
      <c r="B81" s="1"/>
      <c r="C81" s="95"/>
      <c r="D81" s="96"/>
      <c r="E81" s="96"/>
      <c r="F81" s="96"/>
      <c r="G81" s="96"/>
      <c r="H81" s="96"/>
      <c r="I81" s="96"/>
      <c r="J81" s="96"/>
      <c r="K81" s="96"/>
      <c r="L81" s="90"/>
      <c r="M81" s="97"/>
      <c r="N81" s="98" t="s">
        <v>110</v>
      </c>
      <c r="O81" s="102">
        <f>O76+O66+O16+O54+O37</f>
        <v>2732000</v>
      </c>
      <c r="P81" s="103">
        <f>P76+P66+P16+P54+P37</f>
        <v>7898000</v>
      </c>
      <c r="Q81" s="103">
        <f>Q76+Q66+Q16+Q54+Q37</f>
        <v>2003000</v>
      </c>
      <c r="R81" s="103">
        <f>R76+R66+R16+R54+R37</f>
        <v>1088000</v>
      </c>
      <c r="S81" s="104">
        <f>S76+S66+S16+S54+S37</f>
        <v>638000</v>
      </c>
      <c r="T81" s="99">
        <f>SUM(O81:S81)</f>
        <v>14359000</v>
      </c>
      <c r="U81" s="102">
        <f>SUM(U16,U37,U54,U66,U76)</f>
        <v>0</v>
      </c>
      <c r="V81" s="103">
        <f>SUM(V76,V66,V16,V54,V37)</f>
        <v>3210000</v>
      </c>
      <c r="W81" s="103">
        <f>SUM(W76,W66,W16,W54,W37)</f>
        <v>11149000</v>
      </c>
      <c r="X81" s="103">
        <f>SUM(X76,X66,X16,X54,X37)</f>
        <v>0</v>
      </c>
    </row>
    <row r="82" spans="2:24">
      <c r="C82" s="2"/>
      <c r="D82" s="2"/>
      <c r="E82" s="2"/>
      <c r="F82" s="2"/>
      <c r="G82" s="2"/>
      <c r="H82" s="2"/>
      <c r="I82" s="2"/>
      <c r="J82" s="5"/>
      <c r="K82" s="5"/>
      <c r="L82" s="5"/>
      <c r="M82" s="5"/>
      <c r="N82" s="4"/>
      <c r="O82" s="39"/>
      <c r="P82" s="39"/>
      <c r="Q82" s="39"/>
      <c r="R82" s="39"/>
      <c r="S82" s="39"/>
      <c r="T82" s="39"/>
      <c r="U82" s="39"/>
      <c r="V82" s="39"/>
      <c r="W82" s="39"/>
      <c r="X82" s="39"/>
    </row>
    <row r="83" spans="2:24" ht="16" thickBot="1">
      <c r="B83" s="71"/>
      <c r="C83" s="2"/>
      <c r="D83" s="2"/>
      <c r="E83" s="2"/>
      <c r="F83" s="2"/>
      <c r="G83" s="2"/>
      <c r="H83" s="2"/>
      <c r="I83" s="2"/>
      <c r="J83" s="5"/>
      <c r="K83" s="5"/>
      <c r="L83" s="5"/>
      <c r="M83" s="5"/>
      <c r="N83" s="4"/>
      <c r="O83" s="39"/>
      <c r="P83" s="39"/>
      <c r="Q83" s="39"/>
      <c r="R83" s="39"/>
      <c r="S83" s="39"/>
      <c r="T83" s="39"/>
      <c r="U83" s="39"/>
      <c r="V83" s="39"/>
      <c r="W83" s="39"/>
      <c r="X83" s="39"/>
    </row>
    <row r="84" spans="2:24" s="71" customFormat="1" ht="32">
      <c r="B84" s="1"/>
      <c r="C84" s="75" t="s">
        <v>100</v>
      </c>
      <c r="D84" s="74" t="s">
        <v>7</v>
      </c>
      <c r="E84" s="74"/>
      <c r="F84" s="74"/>
      <c r="G84" s="74" t="s">
        <v>33</v>
      </c>
      <c r="H84" s="72">
        <v>2021</v>
      </c>
      <c r="I84" s="72">
        <v>2022</v>
      </c>
      <c r="J84" s="72">
        <v>2023</v>
      </c>
      <c r="K84" s="72">
        <v>2024</v>
      </c>
      <c r="L84" s="72">
        <v>2025</v>
      </c>
      <c r="M84" s="69" t="s">
        <v>44</v>
      </c>
      <c r="N84" s="62" t="s">
        <v>45</v>
      </c>
      <c r="O84" s="73" t="s">
        <v>73</v>
      </c>
      <c r="P84" s="73" t="s">
        <v>47</v>
      </c>
      <c r="Q84" s="73" t="s">
        <v>74</v>
      </c>
      <c r="R84" s="73" t="s">
        <v>75</v>
      </c>
      <c r="S84" s="73" t="s">
        <v>76</v>
      </c>
      <c r="T84" s="176" t="s">
        <v>129</v>
      </c>
      <c r="U84" s="185"/>
      <c r="V84" s="186"/>
      <c r="W84" s="186"/>
      <c r="X84" s="187"/>
    </row>
    <row r="85" spans="2:24" ht="16">
      <c r="B85" s="231">
        <v>4.2</v>
      </c>
      <c r="C85" s="273" t="s">
        <v>56</v>
      </c>
      <c r="D85" s="65" t="s">
        <v>23</v>
      </c>
      <c r="E85" s="65" t="s">
        <v>126</v>
      </c>
      <c r="F85" s="66"/>
      <c r="G85" s="65" t="s">
        <v>39</v>
      </c>
      <c r="H85" s="149"/>
      <c r="I85" s="150"/>
      <c r="J85" s="150"/>
      <c r="K85" s="150"/>
      <c r="L85" s="150"/>
      <c r="M85" s="150"/>
      <c r="N85" s="141">
        <v>7.0000000000000007E-2</v>
      </c>
      <c r="O85" s="48">
        <v>0</v>
      </c>
      <c r="P85" s="48">
        <f>ROUND($N85*O37+O85,-3)</f>
        <v>37000</v>
      </c>
      <c r="Q85" s="48">
        <f t="shared" ref="Q85:S85" si="50">ROUND($N85*P37+P85,-3)</f>
        <v>303000</v>
      </c>
      <c r="R85" s="48">
        <f t="shared" si="50"/>
        <v>331000</v>
      </c>
      <c r="S85" s="48">
        <f t="shared" si="50"/>
        <v>347000</v>
      </c>
      <c r="T85" s="165">
        <f t="shared" ref="T85:T86" si="51">SUM(O85:S85)</f>
        <v>1018000</v>
      </c>
      <c r="U85" s="180">
        <f>IF($E85=U$3,$T85,0)</f>
        <v>0</v>
      </c>
      <c r="V85" s="173">
        <f t="shared" ref="V85:X86" si="52">IF($E85=V$3,$T85,0)</f>
        <v>0</v>
      </c>
      <c r="W85" s="173">
        <f t="shared" si="52"/>
        <v>0</v>
      </c>
      <c r="X85" s="181">
        <f t="shared" si="52"/>
        <v>1018000</v>
      </c>
    </row>
    <row r="86" spans="2:24" ht="17" thickBot="1">
      <c r="B86" s="231">
        <v>4.2</v>
      </c>
      <c r="C86" s="274"/>
      <c r="D86" s="67" t="s">
        <v>24</v>
      </c>
      <c r="E86" s="65" t="s">
        <v>313</v>
      </c>
      <c r="F86" s="68"/>
      <c r="G86" s="67" t="s">
        <v>39</v>
      </c>
      <c r="H86" s="152"/>
      <c r="I86" s="153"/>
      <c r="J86" s="153"/>
      <c r="K86" s="153"/>
      <c r="L86" s="153"/>
      <c r="M86" s="154"/>
      <c r="N86" s="142">
        <v>7.0000000000000007E-2</v>
      </c>
      <c r="O86" s="49">
        <v>0</v>
      </c>
      <c r="P86" s="49">
        <f>ROUND($N86*O54+O86,-3)</f>
        <v>56000</v>
      </c>
      <c r="Q86" s="49">
        <f t="shared" ref="Q86:S86" si="53">ROUND($N86*P54+P86,-3)</f>
        <v>193000</v>
      </c>
      <c r="R86" s="49">
        <f t="shared" si="53"/>
        <v>204000</v>
      </c>
      <c r="S86" s="49">
        <f t="shared" si="53"/>
        <v>204000</v>
      </c>
      <c r="T86" s="166">
        <f t="shared" si="51"/>
        <v>657000</v>
      </c>
      <c r="U86" s="180">
        <f>IF($E86=U$3,$T86,0)</f>
        <v>0</v>
      </c>
      <c r="V86" s="173">
        <f t="shared" si="52"/>
        <v>0</v>
      </c>
      <c r="W86" s="173">
        <f t="shared" si="52"/>
        <v>657000</v>
      </c>
      <c r="X86" s="181">
        <f t="shared" si="52"/>
        <v>0</v>
      </c>
    </row>
    <row r="87" spans="2:24" ht="16" thickBot="1">
      <c r="B87" s="45"/>
      <c r="C87" s="16"/>
      <c r="D87" s="9"/>
      <c r="E87" s="9"/>
      <c r="F87" s="9"/>
      <c r="G87" s="9"/>
      <c r="H87" s="9"/>
      <c r="I87" s="9"/>
      <c r="J87" s="5"/>
      <c r="K87" s="5"/>
      <c r="L87" s="5"/>
      <c r="M87" s="5"/>
      <c r="N87" s="4"/>
      <c r="O87" s="39"/>
      <c r="P87" s="39"/>
      <c r="Q87" s="40"/>
      <c r="R87" s="40"/>
      <c r="S87" s="40"/>
      <c r="T87" s="41"/>
      <c r="U87" s="41"/>
      <c r="V87" s="41"/>
      <c r="W87" s="41"/>
      <c r="X87" s="41"/>
    </row>
    <row r="88" spans="2:24" s="45" customFormat="1" ht="16" thickBot="1">
      <c r="B88" s="1"/>
      <c r="C88" s="47"/>
      <c r="D88" s="46"/>
      <c r="E88" s="46"/>
      <c r="F88" s="46"/>
      <c r="G88" s="46"/>
      <c r="H88" s="46"/>
      <c r="I88" s="46"/>
      <c r="J88" s="46"/>
      <c r="K88" s="46"/>
      <c r="L88" s="87"/>
      <c r="M88" s="88"/>
      <c r="N88" s="89" t="s">
        <v>111</v>
      </c>
      <c r="O88" s="83">
        <f>SUM(O85:O86)</f>
        <v>0</v>
      </c>
      <c r="P88" s="84">
        <f>SUM(P85:P86)</f>
        <v>93000</v>
      </c>
      <c r="Q88" s="84">
        <f>SUM(Q85:Q86)</f>
        <v>496000</v>
      </c>
      <c r="R88" s="84">
        <f>SUM(R85:R86)</f>
        <v>535000</v>
      </c>
      <c r="S88" s="85">
        <f>SUM(S85:S86)</f>
        <v>551000</v>
      </c>
      <c r="T88" s="61">
        <f>SUM(O88:S88)</f>
        <v>1675000</v>
      </c>
      <c r="U88" s="172">
        <f>SUM(U85:U86)</f>
        <v>0</v>
      </c>
      <c r="V88" s="174">
        <f t="shared" ref="V88:X88" si="54">SUM(V85:V86)</f>
        <v>0</v>
      </c>
      <c r="W88" s="174">
        <f t="shared" si="54"/>
        <v>657000</v>
      </c>
      <c r="X88" s="175">
        <f t="shared" si="54"/>
        <v>1018000</v>
      </c>
    </row>
    <row r="89" spans="2:24">
      <c r="C89" s="2"/>
      <c r="D89" s="2"/>
      <c r="E89" s="2"/>
      <c r="F89" s="2"/>
      <c r="G89" s="2"/>
      <c r="H89" s="2"/>
      <c r="I89" s="2"/>
      <c r="J89" s="5"/>
      <c r="K89" s="5"/>
      <c r="L89" s="5"/>
      <c r="M89" s="5"/>
      <c r="N89" s="4"/>
      <c r="O89" s="39"/>
      <c r="P89" s="39"/>
      <c r="Q89" s="39"/>
      <c r="R89" s="39"/>
      <c r="S89" s="39"/>
      <c r="T89" s="39"/>
      <c r="U89" s="39"/>
      <c r="V89" s="39"/>
      <c r="W89" s="39"/>
      <c r="X89" s="39"/>
    </row>
    <row r="90" spans="2:24" ht="16" thickBot="1">
      <c r="C90" s="2"/>
      <c r="D90" s="2"/>
      <c r="E90" s="2"/>
      <c r="F90" s="2"/>
      <c r="G90" s="2"/>
      <c r="H90" s="2"/>
      <c r="I90" s="2"/>
      <c r="J90" s="5"/>
      <c r="K90" s="5"/>
      <c r="L90" s="5"/>
      <c r="M90" s="5"/>
      <c r="N90" s="4"/>
      <c r="O90" s="39"/>
      <c r="P90" s="39"/>
      <c r="Q90" s="39"/>
      <c r="R90" s="39"/>
      <c r="S90" s="39"/>
      <c r="T90" s="39"/>
      <c r="U90" s="39"/>
      <c r="V90" s="39"/>
      <c r="W90" s="39"/>
      <c r="X90" s="39"/>
    </row>
    <row r="91" spans="2:24" ht="34" thickTop="1" thickBot="1">
      <c r="B91" s="45"/>
      <c r="C91" s="91"/>
      <c r="D91" s="92"/>
      <c r="E91" s="92"/>
      <c r="F91" s="92"/>
      <c r="G91" s="92"/>
      <c r="H91" s="92"/>
      <c r="I91" s="92"/>
      <c r="J91" s="93"/>
      <c r="K91" s="93"/>
      <c r="L91" s="93"/>
      <c r="M91" s="93"/>
      <c r="N91" s="94"/>
      <c r="O91" s="43" t="s">
        <v>73</v>
      </c>
      <c r="P91" s="43" t="s">
        <v>47</v>
      </c>
      <c r="Q91" s="43" t="s">
        <v>74</v>
      </c>
      <c r="R91" s="43" t="s">
        <v>75</v>
      </c>
      <c r="S91" s="188" t="s">
        <v>76</v>
      </c>
      <c r="T91" s="86" t="s">
        <v>92</v>
      </c>
      <c r="U91" s="185"/>
      <c r="V91" s="186"/>
      <c r="W91" s="186"/>
      <c r="X91" s="187"/>
    </row>
    <row r="92" spans="2:24" s="45" customFormat="1" ht="17" thickTop="1" thickBot="1">
      <c r="B92" s="2"/>
      <c r="C92" s="95"/>
      <c r="D92" s="96"/>
      <c r="E92" s="96"/>
      <c r="F92" s="96"/>
      <c r="G92" s="96"/>
      <c r="H92" s="96"/>
      <c r="I92" s="96"/>
      <c r="J92" s="96"/>
      <c r="K92" s="96"/>
      <c r="L92" s="90"/>
      <c r="M92" s="97"/>
      <c r="N92" s="98" t="s">
        <v>112</v>
      </c>
      <c r="O92" s="102">
        <f t="shared" ref="O92:S92" si="55">O88+O81</f>
        <v>2732000</v>
      </c>
      <c r="P92" s="103">
        <f t="shared" si="55"/>
        <v>7991000</v>
      </c>
      <c r="Q92" s="103">
        <f t="shared" si="55"/>
        <v>2499000</v>
      </c>
      <c r="R92" s="103">
        <f t="shared" si="55"/>
        <v>1623000</v>
      </c>
      <c r="S92" s="103">
        <f t="shared" si="55"/>
        <v>1189000</v>
      </c>
      <c r="T92" s="86">
        <f>T88+T81</f>
        <v>16034000</v>
      </c>
      <c r="U92" s="172">
        <f>U81+U88</f>
        <v>0</v>
      </c>
      <c r="V92" s="174">
        <f t="shared" ref="V92:X92" si="56">V88+V81</f>
        <v>3210000</v>
      </c>
      <c r="W92" s="174">
        <f t="shared" si="56"/>
        <v>11806000</v>
      </c>
      <c r="X92" s="175">
        <f t="shared" si="56"/>
        <v>1018000</v>
      </c>
    </row>
    <row r="93" spans="2:24" s="2" customFormat="1">
      <c r="B93" s="1"/>
      <c r="C93" s="16"/>
      <c r="D93" s="9"/>
      <c r="E93" s="9"/>
      <c r="F93" s="9"/>
      <c r="G93" s="9"/>
      <c r="H93" s="9"/>
      <c r="I93" s="9"/>
      <c r="J93" s="5"/>
      <c r="K93" s="5"/>
      <c r="L93" s="5"/>
      <c r="M93" s="5"/>
      <c r="N93" s="4"/>
      <c r="O93" s="41"/>
      <c r="P93" s="41"/>
      <c r="Q93" s="41"/>
      <c r="R93" s="41"/>
      <c r="S93" s="41"/>
      <c r="T93" s="42"/>
      <c r="U93" s="42"/>
      <c r="V93" s="42"/>
      <c r="W93" s="42"/>
      <c r="X93" s="42"/>
    </row>
    <row r="94" spans="2:24" ht="16" thickBot="1">
      <c r="B94" s="71"/>
      <c r="N94" s="11"/>
      <c r="O94" s="11"/>
      <c r="P94" s="11"/>
      <c r="Q94" s="11"/>
      <c r="R94" s="11"/>
      <c r="S94" s="11"/>
      <c r="T94" s="11"/>
      <c r="U94" s="11"/>
      <c r="V94" s="11"/>
      <c r="W94" s="11"/>
      <c r="X94" s="11"/>
    </row>
    <row r="95" spans="2:24" s="71" customFormat="1" ht="16">
      <c r="B95" s="1"/>
      <c r="C95" s="75" t="s">
        <v>104</v>
      </c>
      <c r="D95" s="74" t="s">
        <v>7</v>
      </c>
      <c r="E95" s="74"/>
      <c r="F95" s="74"/>
      <c r="G95" s="74" t="s">
        <v>33</v>
      </c>
      <c r="H95" s="72">
        <v>2021</v>
      </c>
      <c r="I95" s="72">
        <v>2022</v>
      </c>
      <c r="J95" s="72">
        <v>2023</v>
      </c>
      <c r="K95" s="72">
        <v>2024</v>
      </c>
      <c r="L95" s="72">
        <v>2025</v>
      </c>
      <c r="M95" s="69"/>
      <c r="N95" s="62"/>
      <c r="O95" s="73">
        <v>2018</v>
      </c>
      <c r="P95" s="73">
        <v>2019</v>
      </c>
      <c r="Q95" s="73">
        <v>2020</v>
      </c>
      <c r="R95" s="73">
        <v>2021</v>
      </c>
      <c r="S95" s="73">
        <v>2022</v>
      </c>
      <c r="T95" s="70" t="s">
        <v>0</v>
      </c>
      <c r="U95" s="11"/>
      <c r="V95" s="11"/>
      <c r="W95" s="11"/>
      <c r="X95" s="11"/>
    </row>
    <row r="96" spans="2:24" ht="16">
      <c r="C96" s="273" t="s">
        <v>57</v>
      </c>
      <c r="D96" s="6" t="s">
        <v>58</v>
      </c>
      <c r="E96" s="6"/>
      <c r="F96" s="6"/>
      <c r="G96" s="6" t="s">
        <v>60</v>
      </c>
      <c r="H96" s="32"/>
      <c r="I96" s="33"/>
      <c r="J96" s="33"/>
      <c r="K96" s="33"/>
      <c r="L96" s="33"/>
      <c r="M96" s="29"/>
      <c r="N96" s="26"/>
      <c r="O96" s="26"/>
      <c r="P96" s="26"/>
      <c r="Q96" s="26"/>
      <c r="R96" s="26"/>
      <c r="S96" s="27"/>
      <c r="T96" s="34"/>
      <c r="U96" s="11"/>
      <c r="V96" s="11"/>
      <c r="W96" s="11"/>
      <c r="X96" s="11"/>
    </row>
    <row r="97" spans="2:24" ht="16">
      <c r="C97" s="273"/>
      <c r="D97" s="6" t="s">
        <v>59</v>
      </c>
      <c r="E97" s="6"/>
      <c r="F97" s="6"/>
      <c r="G97" s="6" t="s">
        <v>61</v>
      </c>
      <c r="H97" s="25"/>
      <c r="I97" s="25"/>
      <c r="J97" s="25"/>
      <c r="K97" s="25"/>
      <c r="L97" s="25"/>
      <c r="M97" s="30"/>
      <c r="N97" s="25"/>
      <c r="O97" s="10">
        <f>H96*H97</f>
        <v>0</v>
      </c>
      <c r="P97" s="10">
        <f t="shared" ref="P97:S97" si="57">I96*I97</f>
        <v>0</v>
      </c>
      <c r="Q97" s="10">
        <f t="shared" si="57"/>
        <v>0</v>
      </c>
      <c r="R97" s="10">
        <f t="shared" si="57"/>
        <v>0</v>
      </c>
      <c r="S97" s="10">
        <f t="shared" si="57"/>
        <v>0</v>
      </c>
      <c r="T97" s="21">
        <f t="shared" ref="T97:T98" si="58">SUM(O97:S97)</f>
        <v>0</v>
      </c>
      <c r="U97" s="11"/>
      <c r="V97" s="11"/>
      <c r="W97" s="11"/>
      <c r="X97" s="11"/>
    </row>
    <row r="98" spans="2:24" ht="17" thickBot="1">
      <c r="C98" s="274"/>
      <c r="D98" s="17" t="s">
        <v>70</v>
      </c>
      <c r="E98" s="17"/>
      <c r="F98" s="17"/>
      <c r="G98" s="17" t="s">
        <v>62</v>
      </c>
      <c r="H98" s="28"/>
      <c r="I98" s="28"/>
      <c r="J98" s="28"/>
      <c r="K98" s="28"/>
      <c r="L98" s="28"/>
      <c r="M98" s="31"/>
      <c r="N98" s="28"/>
      <c r="O98" s="18">
        <f>H96*H98</f>
        <v>0</v>
      </c>
      <c r="P98" s="18">
        <f t="shared" ref="P98:S98" si="59">I96*I98</f>
        <v>0</v>
      </c>
      <c r="Q98" s="18">
        <f t="shared" si="59"/>
        <v>0</v>
      </c>
      <c r="R98" s="18">
        <f t="shared" si="59"/>
        <v>0</v>
      </c>
      <c r="S98" s="23">
        <f t="shared" si="59"/>
        <v>0</v>
      </c>
      <c r="T98" s="22">
        <f t="shared" si="58"/>
        <v>0</v>
      </c>
      <c r="U98" s="11"/>
      <c r="V98" s="11"/>
      <c r="W98" s="11"/>
      <c r="X98" s="11"/>
    </row>
    <row r="99" spans="2:24" ht="16" thickBot="1">
      <c r="C99" s="8"/>
      <c r="D99" s="7"/>
      <c r="E99" s="7"/>
      <c r="F99" s="7"/>
      <c r="G99" s="7"/>
      <c r="H99" s="13"/>
      <c r="I99" s="13"/>
      <c r="J99" s="14"/>
      <c r="K99" s="14"/>
      <c r="L99" s="14"/>
      <c r="M99" s="11"/>
      <c r="N99" s="11"/>
      <c r="O99" s="11"/>
      <c r="P99" s="11"/>
      <c r="Q99" s="11"/>
      <c r="R99" s="11"/>
      <c r="S99" s="11"/>
      <c r="T99" s="24"/>
      <c r="U99" s="11"/>
      <c r="V99" s="11"/>
      <c r="W99" s="11"/>
      <c r="X99" s="11"/>
    </row>
    <row r="100" spans="2:24" ht="16" thickBot="1">
      <c r="L100" s="87"/>
      <c r="M100" s="88"/>
      <c r="N100" s="89" t="s">
        <v>113</v>
      </c>
      <c r="O100" s="35">
        <f>O98</f>
        <v>0</v>
      </c>
      <c r="P100" s="35">
        <f t="shared" ref="P100:S100" si="60">P98</f>
        <v>0</v>
      </c>
      <c r="Q100" s="35">
        <f t="shared" si="60"/>
        <v>0</v>
      </c>
      <c r="R100" s="35">
        <f t="shared" si="60"/>
        <v>0</v>
      </c>
      <c r="S100" s="35">
        <f t="shared" si="60"/>
        <v>0</v>
      </c>
      <c r="T100" s="15">
        <f>SUM(O100:S100)</f>
        <v>0</v>
      </c>
      <c r="U100" s="11"/>
      <c r="V100" s="11"/>
      <c r="W100" s="11"/>
      <c r="X100" s="11"/>
    </row>
    <row r="101" spans="2:24" ht="16" thickBot="1">
      <c r="U101" s="11"/>
      <c r="V101" s="11"/>
      <c r="W101" s="11"/>
      <c r="X101" s="11"/>
    </row>
    <row r="102" spans="2:24" ht="50" thickTop="1" thickBot="1">
      <c r="B102" s="45"/>
      <c r="C102" s="106"/>
      <c r="D102" s="112" t="s">
        <v>114</v>
      </c>
      <c r="E102" s="107"/>
      <c r="F102" s="107"/>
      <c r="G102" s="107"/>
      <c r="H102" s="107"/>
      <c r="I102" s="107"/>
      <c r="J102" s="107"/>
      <c r="K102" s="107"/>
      <c r="L102" s="107"/>
      <c r="M102" s="107"/>
      <c r="N102" s="108"/>
      <c r="O102" s="19" t="s">
        <v>73</v>
      </c>
      <c r="P102" s="19" t="s">
        <v>47</v>
      </c>
      <c r="Q102" s="19" t="s">
        <v>74</v>
      </c>
      <c r="R102" s="19" t="s">
        <v>75</v>
      </c>
      <c r="S102" s="44" t="s">
        <v>76</v>
      </c>
      <c r="T102" s="20" t="s">
        <v>93</v>
      </c>
      <c r="U102" s="11"/>
      <c r="V102" s="11"/>
      <c r="W102" s="11"/>
      <c r="X102" s="11"/>
    </row>
    <row r="103" spans="2:24" s="45" customFormat="1" ht="16" thickBot="1">
      <c r="B103" s="1"/>
      <c r="C103" s="109"/>
      <c r="D103" s="110"/>
      <c r="E103" s="110"/>
      <c r="F103" s="110"/>
      <c r="G103" s="110"/>
      <c r="H103" s="110"/>
      <c r="I103" s="110"/>
      <c r="J103" s="110"/>
      <c r="K103" s="110"/>
      <c r="L103" s="110"/>
      <c r="M103" s="110"/>
      <c r="N103" s="111"/>
      <c r="O103" s="83">
        <f>O88+O100</f>
        <v>0</v>
      </c>
      <c r="P103" s="84">
        <f>P88+P100</f>
        <v>93000</v>
      </c>
      <c r="Q103" s="84">
        <f>Q88+Q100</f>
        <v>496000</v>
      </c>
      <c r="R103" s="84">
        <f>R88+R100</f>
        <v>535000</v>
      </c>
      <c r="S103" s="85">
        <f>S88+S100</f>
        <v>551000</v>
      </c>
      <c r="T103" s="61">
        <f>S103</f>
        <v>551000</v>
      </c>
      <c r="U103" s="11"/>
      <c r="V103" s="11"/>
      <c r="W103" s="11"/>
      <c r="X103" s="11"/>
    </row>
    <row r="104" spans="2:24">
      <c r="Q104" s="271"/>
      <c r="R104" s="271"/>
      <c r="S104" s="121"/>
      <c r="U104" s="11"/>
      <c r="V104" s="11"/>
      <c r="W104" s="11"/>
      <c r="X104" s="11"/>
    </row>
    <row r="105" spans="2:24">
      <c r="Q105" s="272"/>
      <c r="R105" s="272"/>
      <c r="S105" s="121"/>
      <c r="U105" s="11"/>
      <c r="V105" s="11"/>
      <c r="W105" s="11"/>
      <c r="X105" s="11"/>
    </row>
  </sheetData>
  <mergeCells count="8">
    <mergeCell ref="C5:C14"/>
    <mergeCell ref="C96:C98"/>
    <mergeCell ref="Q104:R105"/>
    <mergeCell ref="C19:C35"/>
    <mergeCell ref="C41:C52"/>
    <mergeCell ref="C70:C74"/>
    <mergeCell ref="C85:C86"/>
    <mergeCell ref="C58:C64"/>
  </mergeCells>
  <phoneticPr fontId="8" type="noConversion"/>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5CD88-D19D-480F-95FD-C0CBF0ED3444}">
  <dimension ref="B1:X104"/>
  <sheetViews>
    <sheetView zoomScale="80" zoomScaleNormal="80" workbookViewId="0">
      <selection activeCell="U17" sqref="U17:X17"/>
    </sheetView>
  </sheetViews>
  <sheetFormatPr baseColWidth="10" defaultColWidth="11.5" defaultRowHeight="15"/>
  <cols>
    <col min="1" max="1" width="4" style="1" customWidth="1"/>
    <col min="2" max="2" width="6.33203125" style="1" customWidth="1"/>
    <col min="3" max="3" width="17.6640625" style="1" customWidth="1"/>
    <col min="4" max="4" width="47.83203125" style="1" customWidth="1"/>
    <col min="5" max="5" width="10" style="1" customWidth="1"/>
    <col min="6" max="6" width="11" style="1" customWidth="1"/>
    <col min="7" max="7" width="21.6640625" style="1" customWidth="1"/>
    <col min="8" max="8" width="7.5" style="1" customWidth="1"/>
    <col min="9" max="12" width="7.33203125" style="1" customWidth="1"/>
    <col min="13" max="13" width="14.33203125" style="1" customWidth="1"/>
    <col min="14" max="14" width="13.5" style="1" customWidth="1"/>
    <col min="15" max="24" width="12.83203125" style="1" customWidth="1"/>
    <col min="25" max="16384" width="11.5" style="1"/>
  </cols>
  <sheetData>
    <row r="1" spans="2:24" ht="16" thickBot="1">
      <c r="C1" s="9"/>
      <c r="D1" s="9"/>
      <c r="E1" s="9"/>
      <c r="F1" s="9"/>
      <c r="G1" s="9"/>
      <c r="H1" s="9"/>
      <c r="I1" s="9"/>
      <c r="J1" s="9"/>
      <c r="K1" s="9"/>
      <c r="L1" s="9"/>
      <c r="M1" s="9"/>
      <c r="N1" s="9"/>
      <c r="O1" s="3"/>
      <c r="P1" s="3"/>
      <c r="Q1" s="3"/>
      <c r="R1" s="3"/>
      <c r="S1" s="3"/>
      <c r="T1" s="12"/>
      <c r="U1" s="12"/>
      <c r="V1" s="12"/>
      <c r="W1" s="12"/>
      <c r="X1" s="12"/>
    </row>
    <row r="2" spans="2:24" s="71" customFormat="1" ht="48">
      <c r="C2" s="75" t="s">
        <v>99</v>
      </c>
      <c r="D2" s="74" t="s">
        <v>7</v>
      </c>
      <c r="E2" s="74" t="str">
        <f>E18</f>
        <v>Fin.
AFD, EU, GCF, GVNT</v>
      </c>
      <c r="F2" s="74" t="str">
        <f>F18</f>
        <v>Durée de vie (an)</v>
      </c>
      <c r="G2" s="74" t="s">
        <v>33</v>
      </c>
      <c r="H2" s="72">
        <v>2021</v>
      </c>
      <c r="I2" s="72">
        <v>2022</v>
      </c>
      <c r="J2" s="72">
        <v>2023</v>
      </c>
      <c r="K2" s="72">
        <v>2024</v>
      </c>
      <c r="L2" s="72">
        <v>2025</v>
      </c>
      <c r="M2" s="69" t="s">
        <v>44</v>
      </c>
      <c r="N2" s="62" t="s">
        <v>45</v>
      </c>
      <c r="O2" s="73" t="s">
        <v>9</v>
      </c>
      <c r="P2" s="73" t="s">
        <v>10</v>
      </c>
      <c r="Q2" s="73" t="s">
        <v>11</v>
      </c>
      <c r="R2" s="73" t="s">
        <v>12</v>
      </c>
      <c r="S2" s="73" t="s">
        <v>47</v>
      </c>
      <c r="T2" s="70" t="s">
        <v>8</v>
      </c>
      <c r="U2" s="185"/>
      <c r="V2" s="186"/>
      <c r="W2" s="186"/>
      <c r="X2" s="187"/>
    </row>
    <row r="3" spans="2:24" ht="16">
      <c r="B3" s="1" t="s">
        <v>220</v>
      </c>
      <c r="C3" s="273"/>
      <c r="D3" s="65" t="s">
        <v>217</v>
      </c>
      <c r="E3" s="65" t="s">
        <v>313</v>
      </c>
      <c r="F3" s="66"/>
      <c r="G3" s="65" t="s">
        <v>39</v>
      </c>
      <c r="H3" s="51">
        <v>1</v>
      </c>
      <c r="I3" s="51"/>
      <c r="J3" s="51"/>
      <c r="K3" s="51"/>
      <c r="L3" s="51"/>
      <c r="M3" s="56">
        <f t="shared" ref="M3:M6" si="0">SUM(H3:K3)</f>
        <v>1</v>
      </c>
      <c r="N3" s="63">
        <v>150000</v>
      </c>
      <c r="O3" s="48">
        <f>H3*$N3</f>
        <v>150000</v>
      </c>
      <c r="P3" s="48">
        <f>I3*$N3</f>
        <v>0</v>
      </c>
      <c r="Q3" s="48">
        <f>J3*$N3</f>
        <v>0</v>
      </c>
      <c r="R3" s="48">
        <f>K3*$N3</f>
        <v>0</v>
      </c>
      <c r="S3" s="48">
        <f>L3*$N3</f>
        <v>0</v>
      </c>
      <c r="T3" s="59">
        <f t="shared" ref="T3:T12" si="1">SUM(O3:S3)</f>
        <v>150000</v>
      </c>
      <c r="U3" s="180">
        <f t="shared" ref="U3:V10" si="2">IF($E3=U$12,$T3,0)</f>
        <v>0</v>
      </c>
      <c r="V3" s="173">
        <f t="shared" si="2"/>
        <v>0</v>
      </c>
      <c r="W3" s="173">
        <f t="shared" ref="W3:W12" si="3">IF($E3=W$17,$T3,0)</f>
        <v>150000</v>
      </c>
      <c r="X3" s="181">
        <f t="shared" ref="X3:X10" si="4">IF($E3=X$12,$T3,0)</f>
        <v>0</v>
      </c>
    </row>
    <row r="4" spans="2:24" ht="16">
      <c r="B4" s="1" t="s">
        <v>214</v>
      </c>
      <c r="C4" s="273"/>
      <c r="D4" s="65" t="s">
        <v>21</v>
      </c>
      <c r="E4" s="65" t="s">
        <v>313</v>
      </c>
      <c r="F4" s="66"/>
      <c r="G4" s="65" t="s">
        <v>39</v>
      </c>
      <c r="H4" s="149"/>
      <c r="I4" s="150"/>
      <c r="J4" s="150"/>
      <c r="K4" s="150"/>
      <c r="L4" s="150"/>
      <c r="M4" s="150"/>
      <c r="N4" s="141">
        <v>0.05</v>
      </c>
      <c r="O4" s="48">
        <f>ROUND($N4*O53,-3)</f>
        <v>40000</v>
      </c>
      <c r="P4" s="48">
        <f t="shared" ref="P4:S4" si="5">ROUND($N4*P53,-3)</f>
        <v>105000</v>
      </c>
      <c r="Q4" s="48">
        <f t="shared" si="5"/>
        <v>15000</v>
      </c>
      <c r="R4" s="48">
        <f t="shared" si="5"/>
        <v>0</v>
      </c>
      <c r="S4" s="48">
        <f t="shared" si="5"/>
        <v>0</v>
      </c>
      <c r="T4" s="59">
        <f t="shared" si="1"/>
        <v>160000</v>
      </c>
      <c r="U4" s="180">
        <f t="shared" si="2"/>
        <v>0</v>
      </c>
      <c r="V4" s="173">
        <f t="shared" si="2"/>
        <v>0</v>
      </c>
      <c r="W4" s="173">
        <f t="shared" si="3"/>
        <v>160000</v>
      </c>
      <c r="X4" s="181">
        <f t="shared" si="4"/>
        <v>0</v>
      </c>
    </row>
    <row r="5" spans="2:24" ht="16">
      <c r="B5" s="1" t="s">
        <v>214</v>
      </c>
      <c r="C5" s="273"/>
      <c r="D5" s="65" t="s">
        <v>22</v>
      </c>
      <c r="E5" s="65" t="s">
        <v>313</v>
      </c>
      <c r="F5" s="66"/>
      <c r="G5" s="65" t="s">
        <v>39</v>
      </c>
      <c r="H5" s="149"/>
      <c r="I5" s="150"/>
      <c r="J5" s="150"/>
      <c r="K5" s="150"/>
      <c r="L5" s="150"/>
      <c r="M5" s="150"/>
      <c r="N5" s="141">
        <v>0.05</v>
      </c>
      <c r="O5" s="48">
        <f>ROUND($N5*O36,-3)</f>
        <v>34000</v>
      </c>
      <c r="P5" s="48">
        <f t="shared" ref="P5:S5" si="6">ROUND($N5*P36,-3)</f>
        <v>225000</v>
      </c>
      <c r="Q5" s="48">
        <f t="shared" si="6"/>
        <v>6000</v>
      </c>
      <c r="R5" s="48">
        <f t="shared" si="6"/>
        <v>4000</v>
      </c>
      <c r="S5" s="48">
        <f t="shared" si="6"/>
        <v>4000</v>
      </c>
      <c r="T5" s="59">
        <f t="shared" si="1"/>
        <v>273000</v>
      </c>
      <c r="U5" s="180">
        <f t="shared" si="2"/>
        <v>0</v>
      </c>
      <c r="V5" s="173">
        <f t="shared" si="2"/>
        <v>0</v>
      </c>
      <c r="W5" s="173">
        <f t="shared" si="3"/>
        <v>273000</v>
      </c>
      <c r="X5" s="181">
        <f t="shared" si="4"/>
        <v>0</v>
      </c>
    </row>
    <row r="6" spans="2:24" ht="32">
      <c r="B6" s="1" t="s">
        <v>221</v>
      </c>
      <c r="C6" s="273"/>
      <c r="D6" s="65" t="s">
        <v>216</v>
      </c>
      <c r="E6" s="65" t="s">
        <v>313</v>
      </c>
      <c r="F6" s="66"/>
      <c r="G6" s="65" t="s">
        <v>39</v>
      </c>
      <c r="H6" s="51">
        <v>1</v>
      </c>
      <c r="I6" s="51"/>
      <c r="J6" s="51"/>
      <c r="K6" s="51"/>
      <c r="L6" s="51"/>
      <c r="M6" s="56">
        <f t="shared" si="0"/>
        <v>1</v>
      </c>
      <c r="N6" s="63">
        <v>100000</v>
      </c>
      <c r="O6" s="48">
        <f t="shared" ref="O6:S9" si="7">H6*$N6</f>
        <v>100000</v>
      </c>
      <c r="P6" s="48">
        <f t="shared" si="7"/>
        <v>0</v>
      </c>
      <c r="Q6" s="48">
        <f t="shared" si="7"/>
        <v>0</v>
      </c>
      <c r="R6" s="48">
        <f t="shared" si="7"/>
        <v>0</v>
      </c>
      <c r="S6" s="48">
        <f t="shared" si="7"/>
        <v>0</v>
      </c>
      <c r="T6" s="59">
        <f t="shared" si="1"/>
        <v>100000</v>
      </c>
      <c r="U6" s="180">
        <f t="shared" si="2"/>
        <v>0</v>
      </c>
      <c r="V6" s="173">
        <f t="shared" si="2"/>
        <v>0</v>
      </c>
      <c r="W6" s="173">
        <f t="shared" si="3"/>
        <v>100000</v>
      </c>
      <c r="X6" s="181">
        <f t="shared" si="4"/>
        <v>0</v>
      </c>
    </row>
    <row r="7" spans="2:24" ht="16">
      <c r="B7" s="1" t="s">
        <v>222</v>
      </c>
      <c r="C7" s="273"/>
      <c r="D7" s="76" t="s">
        <v>218</v>
      </c>
      <c r="E7" s="65" t="s">
        <v>313</v>
      </c>
      <c r="F7" s="77"/>
      <c r="G7" s="65" t="s">
        <v>39</v>
      </c>
      <c r="H7" s="51"/>
      <c r="I7" s="51">
        <v>1</v>
      </c>
      <c r="J7" s="51"/>
      <c r="K7" s="51"/>
      <c r="L7" s="51"/>
      <c r="M7" s="56">
        <f>SUM(H7:L7)</f>
        <v>1</v>
      </c>
      <c r="N7" s="80">
        <v>50000</v>
      </c>
      <c r="O7" s="81">
        <f t="shared" si="7"/>
        <v>0</v>
      </c>
      <c r="P7" s="81">
        <f t="shared" si="7"/>
        <v>50000</v>
      </c>
      <c r="Q7" s="81">
        <f t="shared" si="7"/>
        <v>0</v>
      </c>
      <c r="R7" s="81">
        <f t="shared" si="7"/>
        <v>0</v>
      </c>
      <c r="S7" s="81">
        <f t="shared" si="7"/>
        <v>0</v>
      </c>
      <c r="T7" s="82">
        <f t="shared" si="1"/>
        <v>50000</v>
      </c>
      <c r="U7" s="180">
        <f t="shared" si="2"/>
        <v>0</v>
      </c>
      <c r="V7" s="173">
        <f t="shared" si="2"/>
        <v>0</v>
      </c>
      <c r="W7" s="173">
        <f t="shared" si="3"/>
        <v>50000</v>
      </c>
      <c r="X7" s="181">
        <f t="shared" si="4"/>
        <v>0</v>
      </c>
    </row>
    <row r="8" spans="2:24" ht="16">
      <c r="B8" s="1" t="s">
        <v>223</v>
      </c>
      <c r="C8" s="273"/>
      <c r="D8" s="65" t="s">
        <v>219</v>
      </c>
      <c r="E8" s="65" t="s">
        <v>313</v>
      </c>
      <c r="F8" s="66"/>
      <c r="G8" s="65" t="s">
        <v>39</v>
      </c>
      <c r="H8" s="51"/>
      <c r="I8" s="51"/>
      <c r="J8" s="51">
        <v>1</v>
      </c>
      <c r="K8" s="51"/>
      <c r="L8" s="51"/>
      <c r="M8" s="56">
        <f t="shared" ref="M8" si="8">SUM(H8:K8)</f>
        <v>1</v>
      </c>
      <c r="N8" s="63">
        <v>50000</v>
      </c>
      <c r="O8" s="48">
        <f t="shared" si="7"/>
        <v>0</v>
      </c>
      <c r="P8" s="48">
        <f t="shared" si="7"/>
        <v>0</v>
      </c>
      <c r="Q8" s="48">
        <f t="shared" si="7"/>
        <v>50000</v>
      </c>
      <c r="R8" s="48">
        <f t="shared" si="7"/>
        <v>0</v>
      </c>
      <c r="S8" s="48">
        <f t="shared" si="7"/>
        <v>0</v>
      </c>
      <c r="T8" s="59">
        <f t="shared" si="1"/>
        <v>50000</v>
      </c>
      <c r="U8" s="180">
        <f t="shared" si="2"/>
        <v>0</v>
      </c>
      <c r="V8" s="173">
        <f t="shared" si="2"/>
        <v>0</v>
      </c>
      <c r="W8" s="173">
        <f t="shared" si="3"/>
        <v>50000</v>
      </c>
      <c r="X8" s="181">
        <f t="shared" si="4"/>
        <v>0</v>
      </c>
    </row>
    <row r="9" spans="2:24" ht="16">
      <c r="B9" s="1" t="s">
        <v>224</v>
      </c>
      <c r="C9" s="273"/>
      <c r="D9" s="76" t="s">
        <v>225</v>
      </c>
      <c r="E9" s="65" t="s">
        <v>313</v>
      </c>
      <c r="F9" s="77"/>
      <c r="G9" s="65" t="s">
        <v>39</v>
      </c>
      <c r="H9" s="51"/>
      <c r="I9" s="51">
        <v>1</v>
      </c>
      <c r="J9" s="51"/>
      <c r="K9" s="51"/>
      <c r="L9" s="51"/>
      <c r="M9" s="56">
        <f>SUM(H9:L9)</f>
        <v>1</v>
      </c>
      <c r="N9" s="80">
        <v>100000</v>
      </c>
      <c r="O9" s="81">
        <f t="shared" si="7"/>
        <v>0</v>
      </c>
      <c r="P9" s="81">
        <f t="shared" si="7"/>
        <v>100000</v>
      </c>
      <c r="Q9" s="81">
        <f t="shared" si="7"/>
        <v>0</v>
      </c>
      <c r="R9" s="81">
        <f t="shared" si="7"/>
        <v>0</v>
      </c>
      <c r="S9" s="81">
        <f t="shared" si="7"/>
        <v>0</v>
      </c>
      <c r="T9" s="82">
        <f t="shared" si="1"/>
        <v>100000</v>
      </c>
      <c r="U9" s="180">
        <f t="shared" si="2"/>
        <v>0</v>
      </c>
      <c r="V9" s="173">
        <f t="shared" si="2"/>
        <v>0</v>
      </c>
      <c r="W9" s="173">
        <f t="shared" si="3"/>
        <v>100000</v>
      </c>
      <c r="X9" s="181">
        <f t="shared" si="4"/>
        <v>0</v>
      </c>
    </row>
    <row r="10" spans="2:24" ht="16">
      <c r="B10" s="1" t="s">
        <v>224</v>
      </c>
      <c r="C10" s="273"/>
      <c r="D10" s="76" t="s">
        <v>259</v>
      </c>
      <c r="E10" s="65" t="s">
        <v>313</v>
      </c>
      <c r="F10" s="77"/>
      <c r="G10" s="65" t="s">
        <v>39</v>
      </c>
      <c r="H10" s="51"/>
      <c r="I10" s="51">
        <v>1</v>
      </c>
      <c r="J10" s="51"/>
      <c r="K10" s="51"/>
      <c r="L10" s="51"/>
      <c r="M10" s="56">
        <f>SUM(H10:L10)</f>
        <v>1</v>
      </c>
      <c r="N10" s="80">
        <v>50000</v>
      </c>
      <c r="O10" s="81">
        <f t="shared" ref="O10" si="9">H10*$N10</f>
        <v>0</v>
      </c>
      <c r="P10" s="81">
        <f t="shared" ref="P10" si="10">I10*$N10</f>
        <v>50000</v>
      </c>
      <c r="Q10" s="81">
        <f t="shared" ref="Q10" si="11">J10*$N10</f>
        <v>0</v>
      </c>
      <c r="R10" s="81">
        <f t="shared" ref="R10" si="12">K10*$N10</f>
        <v>0</v>
      </c>
      <c r="S10" s="81">
        <f t="shared" ref="S10" si="13">L10*$N10</f>
        <v>0</v>
      </c>
      <c r="T10" s="82">
        <f t="shared" ref="T10" si="14">SUM(O10:S10)</f>
        <v>50000</v>
      </c>
      <c r="U10" s="180">
        <f t="shared" si="2"/>
        <v>0</v>
      </c>
      <c r="V10" s="173">
        <f t="shared" si="2"/>
        <v>0</v>
      </c>
      <c r="W10" s="173">
        <f t="shared" si="3"/>
        <v>50000</v>
      </c>
      <c r="X10" s="181">
        <f t="shared" si="4"/>
        <v>0</v>
      </c>
    </row>
    <row r="11" spans="2:24" ht="32">
      <c r="B11" s="1" t="s">
        <v>213</v>
      </c>
      <c r="C11" s="273"/>
      <c r="D11" s="76" t="s">
        <v>226</v>
      </c>
      <c r="E11" s="65" t="s">
        <v>313</v>
      </c>
      <c r="F11" s="77"/>
      <c r="G11" s="76" t="s">
        <v>1</v>
      </c>
      <c r="H11" s="51">
        <v>3</v>
      </c>
      <c r="I11" s="51">
        <v>3</v>
      </c>
      <c r="J11" s="51">
        <v>3</v>
      </c>
      <c r="K11" s="51">
        <v>3</v>
      </c>
      <c r="L11" s="51">
        <v>3</v>
      </c>
      <c r="M11" s="56">
        <f>SUM(H11:L11)</f>
        <v>15</v>
      </c>
      <c r="N11" s="80">
        <v>24000</v>
      </c>
      <c r="O11" s="81">
        <f t="shared" ref="O11:S12" si="15">H11*$N11</f>
        <v>72000</v>
      </c>
      <c r="P11" s="81">
        <f t="shared" si="15"/>
        <v>72000</v>
      </c>
      <c r="Q11" s="81">
        <f t="shared" si="15"/>
        <v>72000</v>
      </c>
      <c r="R11" s="81">
        <f t="shared" si="15"/>
        <v>72000</v>
      </c>
      <c r="S11" s="81">
        <f t="shared" si="15"/>
        <v>72000</v>
      </c>
      <c r="T11" s="82">
        <f t="shared" si="1"/>
        <v>360000</v>
      </c>
      <c r="U11" s="180">
        <f>IF($E11=U$17,$T11,0)</f>
        <v>0</v>
      </c>
      <c r="V11" s="173">
        <f>IF($E11=V$17,$T11,0)</f>
        <v>0</v>
      </c>
      <c r="W11" s="173">
        <f t="shared" si="3"/>
        <v>360000</v>
      </c>
      <c r="X11" s="181">
        <f>IF($E11=X$17,$T11,0)</f>
        <v>0</v>
      </c>
    </row>
    <row r="12" spans="2:24" ht="33" thickBot="1">
      <c r="B12" s="1" t="s">
        <v>212</v>
      </c>
      <c r="C12" s="274"/>
      <c r="D12" s="67" t="s">
        <v>68</v>
      </c>
      <c r="E12" s="65" t="s">
        <v>313</v>
      </c>
      <c r="F12" s="68"/>
      <c r="G12" s="67" t="s">
        <v>1</v>
      </c>
      <c r="H12" s="52">
        <v>3</v>
      </c>
      <c r="I12" s="52">
        <v>3</v>
      </c>
      <c r="J12" s="52">
        <v>3</v>
      </c>
      <c r="K12" s="52">
        <v>3</v>
      </c>
      <c r="L12" s="52">
        <v>3</v>
      </c>
      <c r="M12" s="57">
        <f>SUM(H12:L12)</f>
        <v>15</v>
      </c>
      <c r="N12" s="64">
        <v>60000</v>
      </c>
      <c r="O12" s="49">
        <f t="shared" si="15"/>
        <v>180000</v>
      </c>
      <c r="P12" s="49">
        <f t="shared" si="15"/>
        <v>180000</v>
      </c>
      <c r="Q12" s="49">
        <f t="shared" si="15"/>
        <v>180000</v>
      </c>
      <c r="R12" s="49">
        <f t="shared" si="15"/>
        <v>180000</v>
      </c>
      <c r="S12" s="49">
        <f t="shared" si="15"/>
        <v>180000</v>
      </c>
      <c r="T12" s="60">
        <f t="shared" si="1"/>
        <v>900000</v>
      </c>
      <c r="U12" s="182">
        <f>IF($E12=U$17,$T12,0)</f>
        <v>0</v>
      </c>
      <c r="V12" s="183">
        <f>IF($E12=V$17,$T12,0)</f>
        <v>0</v>
      </c>
      <c r="W12" s="183">
        <f t="shared" si="3"/>
        <v>900000</v>
      </c>
      <c r="X12" s="184">
        <f>IF($E12=X$17,$T12,0)</f>
        <v>0</v>
      </c>
    </row>
    <row r="13" spans="2:24" ht="16" thickBot="1">
      <c r="C13" s="16"/>
      <c r="D13" s="9"/>
      <c r="E13" s="9"/>
      <c r="F13" s="9"/>
      <c r="G13" s="9"/>
      <c r="H13" s="9"/>
      <c r="I13" s="9"/>
      <c r="J13" s="5"/>
      <c r="K13" s="5"/>
      <c r="L13" s="5"/>
      <c r="M13" s="5"/>
      <c r="N13" s="4"/>
      <c r="O13" s="39"/>
      <c r="P13" s="39"/>
      <c r="Q13" s="40"/>
      <c r="R13" s="40"/>
      <c r="S13" s="40"/>
      <c r="T13" s="41"/>
      <c r="U13" s="41"/>
      <c r="V13" s="41"/>
      <c r="W13" s="41"/>
      <c r="X13" s="41"/>
    </row>
    <row r="14" spans="2:24" s="45" customFormat="1" ht="16" thickBot="1">
      <c r="C14" s="47"/>
      <c r="D14" s="46"/>
      <c r="E14" s="46"/>
      <c r="F14" s="46"/>
      <c r="G14" s="46"/>
      <c r="H14" s="46"/>
      <c r="I14" s="46"/>
      <c r="J14" s="46"/>
      <c r="K14" s="46"/>
      <c r="L14" s="87"/>
      <c r="M14" s="88"/>
      <c r="N14" s="89" t="s">
        <v>107</v>
      </c>
      <c r="O14" s="83">
        <f>SUM(O3:O12)</f>
        <v>576000</v>
      </c>
      <c r="P14" s="84">
        <f>SUM(P3:P12)</f>
        <v>782000</v>
      </c>
      <c r="Q14" s="84">
        <f>SUM(Q3:Q12)</f>
        <v>323000</v>
      </c>
      <c r="R14" s="84">
        <f>SUM(R3:R12)</f>
        <v>256000</v>
      </c>
      <c r="S14" s="85">
        <f>SUM(S3:S12)</f>
        <v>256000</v>
      </c>
      <c r="T14" s="61">
        <f>SUM(O14:S14)</f>
        <v>2193000</v>
      </c>
      <c r="U14" s="172">
        <f>SUM(U3:U12)</f>
        <v>0</v>
      </c>
      <c r="V14" s="174">
        <f>SUM(V3:V12)</f>
        <v>0</v>
      </c>
      <c r="W14" s="174">
        <f>SUM(W3:W12)</f>
        <v>2193000</v>
      </c>
      <c r="X14" s="175">
        <f>SUM(X3:X12)</f>
        <v>0</v>
      </c>
    </row>
    <row r="15" spans="2:24" s="2" customFormat="1">
      <c r="C15" s="16"/>
      <c r="D15" s="9"/>
      <c r="E15" s="9"/>
      <c r="F15" s="9"/>
      <c r="G15" s="9"/>
      <c r="H15" s="9"/>
      <c r="I15" s="9"/>
      <c r="J15" s="5"/>
      <c r="K15" s="5"/>
      <c r="L15" s="5"/>
      <c r="M15" s="5"/>
      <c r="N15" s="4"/>
      <c r="O15" s="41"/>
      <c r="P15" s="41"/>
      <c r="Q15" s="41"/>
      <c r="R15" s="41"/>
      <c r="S15" s="41"/>
      <c r="T15" s="42"/>
      <c r="U15" s="42"/>
      <c r="V15" s="42"/>
      <c r="W15" s="42"/>
      <c r="X15" s="42"/>
    </row>
    <row r="17" spans="2:24" ht="16" thickBot="1">
      <c r="H17" s="53" t="s">
        <v>96</v>
      </c>
      <c r="I17" s="50"/>
      <c r="J17" s="50"/>
      <c r="K17" s="50"/>
      <c r="L17" s="50"/>
      <c r="M17" s="54"/>
      <c r="N17" s="55"/>
      <c r="O17" s="58" t="s">
        <v>95</v>
      </c>
      <c r="P17" s="58" t="s">
        <v>95</v>
      </c>
      <c r="Q17" s="58" t="s">
        <v>95</v>
      </c>
      <c r="R17" s="58" t="s">
        <v>95</v>
      </c>
      <c r="S17" s="58" t="s">
        <v>95</v>
      </c>
      <c r="T17" s="58" t="s">
        <v>95</v>
      </c>
      <c r="U17" s="171" t="s">
        <v>94</v>
      </c>
      <c r="V17" s="171" t="s">
        <v>312</v>
      </c>
      <c r="W17" s="171" t="s">
        <v>313</v>
      </c>
      <c r="X17" s="171" t="s">
        <v>126</v>
      </c>
    </row>
    <row r="18" spans="2:24" s="71" customFormat="1" ht="48">
      <c r="C18" s="75" t="s">
        <v>100</v>
      </c>
      <c r="D18" s="74" t="s">
        <v>7</v>
      </c>
      <c r="E18" s="74" t="s">
        <v>97</v>
      </c>
      <c r="F18" s="74" t="s">
        <v>98</v>
      </c>
      <c r="G18" s="74" t="s">
        <v>33</v>
      </c>
      <c r="H18" s="72">
        <v>2021</v>
      </c>
      <c r="I18" s="72">
        <v>2022</v>
      </c>
      <c r="J18" s="72">
        <v>2023</v>
      </c>
      <c r="K18" s="72">
        <v>2024</v>
      </c>
      <c r="L18" s="72">
        <v>2025</v>
      </c>
      <c r="M18" s="69" t="s">
        <v>44</v>
      </c>
      <c r="N18" s="62" t="s">
        <v>45</v>
      </c>
      <c r="O18" s="73" t="s">
        <v>73</v>
      </c>
      <c r="P18" s="73" t="s">
        <v>47</v>
      </c>
      <c r="Q18" s="73" t="s">
        <v>74</v>
      </c>
      <c r="R18" s="73" t="s">
        <v>75</v>
      </c>
      <c r="S18" s="143" t="s">
        <v>76</v>
      </c>
      <c r="T18" s="70" t="s">
        <v>4</v>
      </c>
      <c r="U18" s="178"/>
      <c r="V18" s="170"/>
      <c r="W18" s="170"/>
      <c r="X18" s="179"/>
    </row>
    <row r="19" spans="2:24" s="45" customFormat="1" ht="16">
      <c r="B19" s="232" t="s">
        <v>205</v>
      </c>
      <c r="C19" s="275" t="s">
        <v>17</v>
      </c>
      <c r="D19" s="65" t="s">
        <v>281</v>
      </c>
      <c r="E19" s="65"/>
      <c r="F19" s="66"/>
      <c r="G19" s="65" t="s">
        <v>34</v>
      </c>
      <c r="H19" s="51"/>
      <c r="I19" s="51"/>
      <c r="J19" s="51"/>
      <c r="K19" s="51"/>
      <c r="L19" s="51"/>
      <c r="M19" s="56">
        <f>SUM(H19:K19)</f>
        <v>0</v>
      </c>
      <c r="N19" s="63">
        <v>60000</v>
      </c>
      <c r="O19" s="48">
        <f>H19*$N19</f>
        <v>0</v>
      </c>
      <c r="P19" s="48">
        <f>I19*$N19</f>
        <v>0</v>
      </c>
      <c r="Q19" s="48">
        <f>J19*$N19</f>
        <v>0</v>
      </c>
      <c r="R19" s="48">
        <f>K19*$N19</f>
        <v>0</v>
      </c>
      <c r="S19" s="144">
        <f>L19*$N19</f>
        <v>0</v>
      </c>
      <c r="T19" s="59">
        <f>SUM(O19:S19)</f>
        <v>0</v>
      </c>
      <c r="U19" s="180">
        <f t="shared" ref="U19:V34" si="16">IF($E19=U$17,$T19,0)</f>
        <v>0</v>
      </c>
      <c r="V19" s="173">
        <f t="shared" si="16"/>
        <v>0</v>
      </c>
      <c r="W19" s="173">
        <f t="shared" ref="W19:X19" si="17">IF($E19=W$17,$T19,0)</f>
        <v>0</v>
      </c>
      <c r="X19" s="181">
        <f t="shared" si="17"/>
        <v>0</v>
      </c>
    </row>
    <row r="20" spans="2:24" s="45" customFormat="1" ht="16">
      <c r="B20" s="232" t="s">
        <v>205</v>
      </c>
      <c r="C20" s="275"/>
      <c r="D20" s="65" t="s">
        <v>128</v>
      </c>
      <c r="E20" s="65" t="s">
        <v>126</v>
      </c>
      <c r="F20" s="66">
        <v>30</v>
      </c>
      <c r="G20" s="65" t="s">
        <v>6</v>
      </c>
      <c r="H20" s="51">
        <v>0.5</v>
      </c>
      <c r="I20" s="51">
        <v>0.5</v>
      </c>
      <c r="J20" s="51"/>
      <c r="K20" s="51"/>
      <c r="L20" s="51"/>
      <c r="M20" s="56">
        <f>SUM(H20:K20)</f>
        <v>1</v>
      </c>
      <c r="N20" s="63">
        <v>1000000</v>
      </c>
      <c r="O20" s="48">
        <f t="shared" ref="O20:S34" si="18">H20*$N20</f>
        <v>500000</v>
      </c>
      <c r="P20" s="48">
        <f t="shared" si="18"/>
        <v>500000</v>
      </c>
      <c r="Q20" s="48">
        <f t="shared" si="18"/>
        <v>0</v>
      </c>
      <c r="R20" s="48">
        <f t="shared" si="18"/>
        <v>0</v>
      </c>
      <c r="S20" s="144">
        <f t="shared" si="18"/>
        <v>0</v>
      </c>
      <c r="T20" s="59">
        <f t="shared" ref="T20:T34" si="19">SUM(O20:S20)</f>
        <v>1000000</v>
      </c>
      <c r="U20" s="180">
        <f t="shared" si="16"/>
        <v>0</v>
      </c>
      <c r="V20" s="173">
        <f t="shared" si="16"/>
        <v>0</v>
      </c>
      <c r="W20" s="173">
        <f t="shared" ref="W20:X34" si="20">IF($E20=W$17,$T20,0)</f>
        <v>0</v>
      </c>
      <c r="X20" s="181">
        <f t="shared" si="20"/>
        <v>1000000</v>
      </c>
    </row>
    <row r="21" spans="2:24" s="45" customFormat="1" ht="16">
      <c r="B21" s="232" t="s">
        <v>205</v>
      </c>
      <c r="C21" s="275"/>
      <c r="D21" s="65" t="s">
        <v>78</v>
      </c>
      <c r="E21" s="65" t="s">
        <v>313</v>
      </c>
      <c r="F21" s="66">
        <v>10</v>
      </c>
      <c r="G21" s="65" t="s">
        <v>34</v>
      </c>
      <c r="H21" s="51">
        <v>5</v>
      </c>
      <c r="I21" s="51">
        <v>5</v>
      </c>
      <c r="J21" s="51">
        <v>5</v>
      </c>
      <c r="K21" s="51">
        <v>5</v>
      </c>
      <c r="L21" s="51">
        <v>5</v>
      </c>
      <c r="M21" s="56">
        <f>SUM(H21:L21)</f>
        <v>25</v>
      </c>
      <c r="N21" s="63">
        <v>15000</v>
      </c>
      <c r="O21" s="48">
        <f t="shared" si="18"/>
        <v>75000</v>
      </c>
      <c r="P21" s="48">
        <f t="shared" si="18"/>
        <v>75000</v>
      </c>
      <c r="Q21" s="48">
        <f t="shared" si="18"/>
        <v>75000</v>
      </c>
      <c r="R21" s="48">
        <f t="shared" si="18"/>
        <v>75000</v>
      </c>
      <c r="S21" s="144">
        <f t="shared" si="18"/>
        <v>75000</v>
      </c>
      <c r="T21" s="59">
        <f t="shared" si="19"/>
        <v>375000</v>
      </c>
      <c r="U21" s="180">
        <f t="shared" si="16"/>
        <v>0</v>
      </c>
      <c r="V21" s="173">
        <f t="shared" si="16"/>
        <v>0</v>
      </c>
      <c r="W21" s="173">
        <f t="shared" si="20"/>
        <v>375000</v>
      </c>
      <c r="X21" s="181">
        <f t="shared" si="20"/>
        <v>0</v>
      </c>
    </row>
    <row r="22" spans="2:24" s="45" customFormat="1" ht="16">
      <c r="B22" s="232" t="s">
        <v>205</v>
      </c>
      <c r="C22" s="275"/>
      <c r="D22" s="65" t="s">
        <v>163</v>
      </c>
      <c r="E22" s="65" t="s">
        <v>313</v>
      </c>
      <c r="F22" s="66">
        <v>10</v>
      </c>
      <c r="G22" s="65" t="s">
        <v>34</v>
      </c>
      <c r="H22" s="51">
        <v>25</v>
      </c>
      <c r="I22" s="51">
        <v>25</v>
      </c>
      <c r="J22" s="51">
        <v>25</v>
      </c>
      <c r="K22" s="51"/>
      <c r="L22" s="51"/>
      <c r="M22" s="56">
        <f t="shared" ref="M22:M26" si="21">SUM(H22:L22)</f>
        <v>75</v>
      </c>
      <c r="N22" s="63">
        <v>500</v>
      </c>
      <c r="O22" s="48">
        <f t="shared" si="18"/>
        <v>12500</v>
      </c>
      <c r="P22" s="48">
        <f t="shared" si="18"/>
        <v>12500</v>
      </c>
      <c r="Q22" s="48">
        <f t="shared" si="18"/>
        <v>12500</v>
      </c>
      <c r="R22" s="48">
        <f t="shared" si="18"/>
        <v>0</v>
      </c>
      <c r="S22" s="144">
        <f t="shared" si="18"/>
        <v>0</v>
      </c>
      <c r="T22" s="165">
        <f t="shared" si="19"/>
        <v>37500</v>
      </c>
      <c r="U22" s="180">
        <f t="shared" si="16"/>
        <v>0</v>
      </c>
      <c r="V22" s="173">
        <f t="shared" si="16"/>
        <v>0</v>
      </c>
      <c r="W22" s="173">
        <f t="shared" si="20"/>
        <v>37500</v>
      </c>
      <c r="X22" s="181">
        <f t="shared" si="20"/>
        <v>0</v>
      </c>
    </row>
    <row r="23" spans="2:24" s="45" customFormat="1" ht="16">
      <c r="B23" s="232" t="s">
        <v>205</v>
      </c>
      <c r="C23" s="275"/>
      <c r="D23" s="65" t="s">
        <v>164</v>
      </c>
      <c r="E23" s="65" t="s">
        <v>313</v>
      </c>
      <c r="F23" s="66">
        <v>10</v>
      </c>
      <c r="G23" s="65" t="s">
        <v>34</v>
      </c>
      <c r="H23" s="51">
        <v>5</v>
      </c>
      <c r="I23" s="51">
        <v>5</v>
      </c>
      <c r="J23" s="51">
        <v>5</v>
      </c>
      <c r="K23" s="51"/>
      <c r="L23" s="51"/>
      <c r="M23" s="56">
        <f t="shared" si="21"/>
        <v>15</v>
      </c>
      <c r="N23" s="63">
        <v>5000</v>
      </c>
      <c r="O23" s="48">
        <f t="shared" si="18"/>
        <v>25000</v>
      </c>
      <c r="P23" s="48">
        <f t="shared" si="18"/>
        <v>25000</v>
      </c>
      <c r="Q23" s="48">
        <f t="shared" si="18"/>
        <v>25000</v>
      </c>
      <c r="R23" s="48">
        <f t="shared" si="18"/>
        <v>0</v>
      </c>
      <c r="S23" s="144">
        <f t="shared" si="18"/>
        <v>0</v>
      </c>
      <c r="T23" s="165">
        <f t="shared" si="19"/>
        <v>75000</v>
      </c>
      <c r="U23" s="180">
        <f t="shared" si="16"/>
        <v>0</v>
      </c>
      <c r="V23" s="173">
        <f t="shared" si="16"/>
        <v>0</v>
      </c>
      <c r="W23" s="173">
        <f t="shared" si="20"/>
        <v>75000</v>
      </c>
      <c r="X23" s="181">
        <f t="shared" si="20"/>
        <v>0</v>
      </c>
    </row>
    <row r="24" spans="2:24" s="45" customFormat="1" ht="16">
      <c r="B24" s="232" t="s">
        <v>205</v>
      </c>
      <c r="C24" s="275"/>
      <c r="D24" s="65" t="s">
        <v>165</v>
      </c>
      <c r="E24" s="65" t="s">
        <v>313</v>
      </c>
      <c r="F24" s="66">
        <v>10</v>
      </c>
      <c r="G24" s="65" t="s">
        <v>34</v>
      </c>
      <c r="H24" s="51"/>
      <c r="I24" s="51">
        <v>1</v>
      </c>
      <c r="J24" s="51"/>
      <c r="K24" s="51"/>
      <c r="L24" s="51"/>
      <c r="M24" s="56">
        <f t="shared" si="21"/>
        <v>1</v>
      </c>
      <c r="N24" s="63">
        <v>50000</v>
      </c>
      <c r="O24" s="48">
        <f t="shared" si="18"/>
        <v>0</v>
      </c>
      <c r="P24" s="48">
        <f t="shared" si="18"/>
        <v>50000</v>
      </c>
      <c r="Q24" s="48">
        <f t="shared" si="18"/>
        <v>0</v>
      </c>
      <c r="R24" s="48">
        <f t="shared" si="18"/>
        <v>0</v>
      </c>
      <c r="S24" s="144">
        <f t="shared" si="18"/>
        <v>0</v>
      </c>
      <c r="T24" s="165">
        <f t="shared" si="19"/>
        <v>50000</v>
      </c>
      <c r="U24" s="180">
        <f t="shared" si="16"/>
        <v>0</v>
      </c>
      <c r="V24" s="173">
        <f t="shared" si="16"/>
        <v>0</v>
      </c>
      <c r="W24" s="173">
        <f t="shared" si="20"/>
        <v>50000</v>
      </c>
      <c r="X24" s="181">
        <f t="shared" si="20"/>
        <v>0</v>
      </c>
    </row>
    <row r="25" spans="2:24" s="45" customFormat="1" ht="16">
      <c r="B25" s="232" t="s">
        <v>205</v>
      </c>
      <c r="C25" s="275"/>
      <c r="D25" s="65" t="s">
        <v>166</v>
      </c>
      <c r="E25" s="65" t="s">
        <v>313</v>
      </c>
      <c r="F25" s="66">
        <v>10</v>
      </c>
      <c r="G25" s="65" t="s">
        <v>34</v>
      </c>
      <c r="H25" s="51"/>
      <c r="I25" s="51">
        <v>1</v>
      </c>
      <c r="J25" s="51"/>
      <c r="K25" s="51"/>
      <c r="L25" s="51"/>
      <c r="M25" s="56">
        <f t="shared" si="21"/>
        <v>1</v>
      </c>
      <c r="N25" s="63">
        <v>6000</v>
      </c>
      <c r="O25" s="48">
        <f t="shared" si="18"/>
        <v>0</v>
      </c>
      <c r="P25" s="48">
        <f t="shared" si="18"/>
        <v>6000</v>
      </c>
      <c r="Q25" s="48">
        <f t="shared" si="18"/>
        <v>0</v>
      </c>
      <c r="R25" s="48">
        <f t="shared" si="18"/>
        <v>0</v>
      </c>
      <c r="S25" s="144">
        <f t="shared" si="18"/>
        <v>0</v>
      </c>
      <c r="T25" s="165">
        <f t="shared" si="19"/>
        <v>6000</v>
      </c>
      <c r="U25" s="180">
        <f t="shared" si="16"/>
        <v>0</v>
      </c>
      <c r="V25" s="173">
        <f t="shared" si="16"/>
        <v>0</v>
      </c>
      <c r="W25" s="173">
        <f t="shared" si="20"/>
        <v>6000</v>
      </c>
      <c r="X25" s="181">
        <f t="shared" si="20"/>
        <v>0</v>
      </c>
    </row>
    <row r="26" spans="2:24" s="45" customFormat="1" ht="16">
      <c r="B26" s="232" t="s">
        <v>205</v>
      </c>
      <c r="C26" s="275"/>
      <c r="D26" s="65" t="s">
        <v>167</v>
      </c>
      <c r="E26" s="65" t="s">
        <v>313</v>
      </c>
      <c r="F26" s="66">
        <v>10</v>
      </c>
      <c r="G26" s="65" t="s">
        <v>34</v>
      </c>
      <c r="H26" s="51">
        <v>1</v>
      </c>
      <c r="I26" s="51"/>
      <c r="J26" s="51"/>
      <c r="K26" s="51"/>
      <c r="L26" s="51"/>
      <c r="M26" s="56">
        <f t="shared" si="21"/>
        <v>1</v>
      </c>
      <c r="N26" s="63">
        <v>20000</v>
      </c>
      <c r="O26" s="48">
        <f t="shared" si="18"/>
        <v>20000</v>
      </c>
      <c r="P26" s="48">
        <f t="shared" si="18"/>
        <v>0</v>
      </c>
      <c r="Q26" s="48">
        <f t="shared" si="18"/>
        <v>0</v>
      </c>
      <c r="R26" s="48">
        <f t="shared" si="18"/>
        <v>0</v>
      </c>
      <c r="S26" s="144">
        <f t="shared" si="18"/>
        <v>0</v>
      </c>
      <c r="T26" s="165">
        <f t="shared" si="19"/>
        <v>20000</v>
      </c>
      <c r="U26" s="180">
        <f t="shared" si="16"/>
        <v>0</v>
      </c>
      <c r="V26" s="173">
        <f t="shared" si="16"/>
        <v>0</v>
      </c>
      <c r="W26" s="173">
        <f t="shared" si="20"/>
        <v>20000</v>
      </c>
      <c r="X26" s="181">
        <f t="shared" si="20"/>
        <v>0</v>
      </c>
    </row>
    <row r="27" spans="2:24" s="45" customFormat="1" ht="16">
      <c r="B27" s="232" t="s">
        <v>205</v>
      </c>
      <c r="C27" s="275"/>
      <c r="D27" s="65" t="s">
        <v>169</v>
      </c>
      <c r="E27" s="65" t="s">
        <v>313</v>
      </c>
      <c r="F27" s="66">
        <v>11</v>
      </c>
      <c r="G27" s="65" t="s">
        <v>34</v>
      </c>
      <c r="H27" s="51">
        <v>1</v>
      </c>
      <c r="I27" s="51">
        <v>1</v>
      </c>
      <c r="J27" s="51"/>
      <c r="K27" s="51"/>
      <c r="L27" s="51"/>
      <c r="M27" s="56">
        <f>SUM(H27:L27)</f>
        <v>2</v>
      </c>
      <c r="N27" s="63">
        <v>20000</v>
      </c>
      <c r="O27" s="48">
        <f t="shared" si="18"/>
        <v>20000</v>
      </c>
      <c r="P27" s="48">
        <f t="shared" si="18"/>
        <v>20000</v>
      </c>
      <c r="Q27" s="48">
        <f t="shared" si="18"/>
        <v>0</v>
      </c>
      <c r="R27" s="48">
        <f t="shared" si="18"/>
        <v>0</v>
      </c>
      <c r="S27" s="144">
        <f t="shared" si="18"/>
        <v>0</v>
      </c>
      <c r="T27" s="165">
        <f t="shared" si="19"/>
        <v>40000</v>
      </c>
      <c r="U27" s="180">
        <f t="shared" si="16"/>
        <v>0</v>
      </c>
      <c r="V27" s="173">
        <f t="shared" si="16"/>
        <v>0</v>
      </c>
      <c r="W27" s="173">
        <f t="shared" si="20"/>
        <v>40000</v>
      </c>
      <c r="X27" s="181">
        <f t="shared" si="20"/>
        <v>0</v>
      </c>
    </row>
    <row r="28" spans="2:24" s="45" customFormat="1" ht="16">
      <c r="B28" s="232" t="s">
        <v>205</v>
      </c>
      <c r="C28" s="275"/>
      <c r="D28" s="65" t="s">
        <v>168</v>
      </c>
      <c r="E28" s="65" t="s">
        <v>313</v>
      </c>
      <c r="F28" s="66">
        <v>12</v>
      </c>
      <c r="G28" s="65" t="s">
        <v>34</v>
      </c>
      <c r="H28" s="51"/>
      <c r="I28" s="51">
        <v>1</v>
      </c>
      <c r="J28" s="51"/>
      <c r="K28" s="51"/>
      <c r="L28" s="51"/>
      <c r="M28" s="56">
        <f>SUM(H28:L28)</f>
        <v>1</v>
      </c>
      <c r="N28" s="63">
        <v>10000</v>
      </c>
      <c r="O28" s="48">
        <f t="shared" si="18"/>
        <v>0</v>
      </c>
      <c r="P28" s="48">
        <f t="shared" si="18"/>
        <v>10000</v>
      </c>
      <c r="Q28" s="48">
        <f>J28*$N28</f>
        <v>0</v>
      </c>
      <c r="R28" s="48">
        <f t="shared" si="18"/>
        <v>0</v>
      </c>
      <c r="S28" s="144">
        <f t="shared" si="18"/>
        <v>0</v>
      </c>
      <c r="T28" s="165">
        <f t="shared" si="19"/>
        <v>10000</v>
      </c>
      <c r="U28" s="180">
        <f t="shared" si="16"/>
        <v>0</v>
      </c>
      <c r="V28" s="173">
        <f t="shared" si="16"/>
        <v>0</v>
      </c>
      <c r="W28" s="173">
        <f t="shared" si="20"/>
        <v>10000</v>
      </c>
      <c r="X28" s="181">
        <f t="shared" si="20"/>
        <v>0</v>
      </c>
    </row>
    <row r="29" spans="2:24" s="45" customFormat="1" ht="16">
      <c r="B29" s="232" t="s">
        <v>205</v>
      </c>
      <c r="C29" s="275"/>
      <c r="D29" s="65" t="s">
        <v>29</v>
      </c>
      <c r="E29" s="65" t="s">
        <v>313</v>
      </c>
      <c r="F29" s="66">
        <v>5</v>
      </c>
      <c r="G29" s="65" t="s">
        <v>34</v>
      </c>
      <c r="H29" s="51">
        <v>1</v>
      </c>
      <c r="I29" s="51">
        <v>2</v>
      </c>
      <c r="J29" s="51"/>
      <c r="K29" s="51"/>
      <c r="L29" s="51"/>
      <c r="M29" s="56">
        <f t="shared" ref="M29:M34" si="22">SUM(H29:K29)</f>
        <v>3</v>
      </c>
      <c r="N29" s="63">
        <v>36000</v>
      </c>
      <c r="O29" s="48">
        <f t="shared" si="18"/>
        <v>36000</v>
      </c>
      <c r="P29" s="48">
        <f t="shared" si="18"/>
        <v>72000</v>
      </c>
      <c r="Q29" s="48">
        <f t="shared" si="18"/>
        <v>0</v>
      </c>
      <c r="R29" s="48">
        <f t="shared" si="18"/>
        <v>0</v>
      </c>
      <c r="S29" s="144">
        <f t="shared" si="18"/>
        <v>0</v>
      </c>
      <c r="T29" s="59">
        <f t="shared" si="19"/>
        <v>108000</v>
      </c>
      <c r="U29" s="180">
        <f t="shared" si="16"/>
        <v>0</v>
      </c>
      <c r="V29" s="173">
        <f t="shared" si="16"/>
        <v>0</v>
      </c>
      <c r="W29" s="173">
        <f t="shared" si="20"/>
        <v>108000</v>
      </c>
      <c r="X29" s="181">
        <f t="shared" si="20"/>
        <v>0</v>
      </c>
    </row>
    <row r="30" spans="2:24" s="45" customFormat="1" ht="16">
      <c r="B30" s="232" t="s">
        <v>205</v>
      </c>
      <c r="C30" s="275"/>
      <c r="D30" s="65" t="s">
        <v>30</v>
      </c>
      <c r="E30" s="65"/>
      <c r="F30" s="66"/>
      <c r="G30" s="65" t="s">
        <v>34</v>
      </c>
      <c r="H30" s="51"/>
      <c r="I30" s="51"/>
      <c r="J30" s="51"/>
      <c r="K30" s="51"/>
      <c r="L30" s="51"/>
      <c r="M30" s="56">
        <f t="shared" si="22"/>
        <v>0</v>
      </c>
      <c r="N30" s="63">
        <v>420000</v>
      </c>
      <c r="O30" s="48">
        <f t="shared" si="18"/>
        <v>0</v>
      </c>
      <c r="P30" s="48">
        <f t="shared" si="18"/>
        <v>0</v>
      </c>
      <c r="Q30" s="48">
        <f t="shared" si="18"/>
        <v>0</v>
      </c>
      <c r="R30" s="48">
        <f t="shared" si="18"/>
        <v>0</v>
      </c>
      <c r="S30" s="144">
        <f t="shared" si="18"/>
        <v>0</v>
      </c>
      <c r="T30" s="59">
        <f t="shared" si="19"/>
        <v>0</v>
      </c>
      <c r="U30" s="180">
        <f t="shared" si="16"/>
        <v>0</v>
      </c>
      <c r="V30" s="173">
        <f t="shared" si="16"/>
        <v>0</v>
      </c>
      <c r="W30" s="173">
        <f t="shared" si="20"/>
        <v>0</v>
      </c>
      <c r="X30" s="181">
        <f t="shared" si="20"/>
        <v>0</v>
      </c>
    </row>
    <row r="31" spans="2:24" s="45" customFormat="1" ht="16">
      <c r="B31" s="232" t="s">
        <v>205</v>
      </c>
      <c r="C31" s="275"/>
      <c r="D31" s="252" t="s">
        <v>282</v>
      </c>
      <c r="E31" s="65" t="s">
        <v>313</v>
      </c>
      <c r="F31" s="66">
        <v>10</v>
      </c>
      <c r="G31" s="65" t="s">
        <v>34</v>
      </c>
      <c r="H31" s="51"/>
      <c r="I31" s="51">
        <v>1</v>
      </c>
      <c r="J31" s="51"/>
      <c r="K31" s="51"/>
      <c r="L31" s="51"/>
      <c r="M31" s="56">
        <f>SUM(H31:L31)</f>
        <v>1</v>
      </c>
      <c r="N31" s="63">
        <v>480000</v>
      </c>
      <c r="O31" s="48">
        <f t="shared" si="18"/>
        <v>0</v>
      </c>
      <c r="P31" s="48">
        <f t="shared" si="18"/>
        <v>480000</v>
      </c>
      <c r="Q31" s="48">
        <f t="shared" si="18"/>
        <v>0</v>
      </c>
      <c r="R31" s="48">
        <f t="shared" si="18"/>
        <v>0</v>
      </c>
      <c r="S31" s="144">
        <f t="shared" si="18"/>
        <v>0</v>
      </c>
      <c r="T31" s="59">
        <f t="shared" si="19"/>
        <v>480000</v>
      </c>
      <c r="U31" s="180">
        <f t="shared" si="16"/>
        <v>0</v>
      </c>
      <c r="V31" s="173">
        <f t="shared" si="16"/>
        <v>0</v>
      </c>
      <c r="W31" s="173">
        <f t="shared" si="20"/>
        <v>480000</v>
      </c>
      <c r="X31" s="181">
        <f t="shared" si="20"/>
        <v>0</v>
      </c>
    </row>
    <row r="32" spans="2:24" s="45" customFormat="1" ht="16">
      <c r="B32" s="232" t="s">
        <v>205</v>
      </c>
      <c r="C32" s="275"/>
      <c r="D32" s="252" t="s">
        <v>14</v>
      </c>
      <c r="E32" s="65" t="s">
        <v>313</v>
      </c>
      <c r="F32" s="66">
        <v>15</v>
      </c>
      <c r="G32" s="65" t="s">
        <v>34</v>
      </c>
      <c r="H32" s="51"/>
      <c r="I32" s="51">
        <v>1</v>
      </c>
      <c r="J32" s="51"/>
      <c r="K32" s="51"/>
      <c r="L32" s="51"/>
      <c r="M32" s="56">
        <f t="shared" si="22"/>
        <v>1</v>
      </c>
      <c r="N32" s="63">
        <v>240000</v>
      </c>
      <c r="O32" s="48">
        <f t="shared" si="18"/>
        <v>0</v>
      </c>
      <c r="P32" s="48">
        <f t="shared" si="18"/>
        <v>240000</v>
      </c>
      <c r="Q32" s="48">
        <f t="shared" si="18"/>
        <v>0</v>
      </c>
      <c r="R32" s="48">
        <f t="shared" si="18"/>
        <v>0</v>
      </c>
      <c r="S32" s="144">
        <f t="shared" si="18"/>
        <v>0</v>
      </c>
      <c r="T32" s="59">
        <f t="shared" si="19"/>
        <v>240000</v>
      </c>
      <c r="U32" s="180">
        <f t="shared" si="16"/>
        <v>0</v>
      </c>
      <c r="V32" s="173">
        <f t="shared" si="16"/>
        <v>0</v>
      </c>
      <c r="W32" s="173">
        <f t="shared" si="20"/>
        <v>240000</v>
      </c>
      <c r="X32" s="181">
        <f t="shared" si="20"/>
        <v>0</v>
      </c>
    </row>
    <row r="33" spans="2:24" s="45" customFormat="1" ht="16">
      <c r="B33" s="232" t="s">
        <v>205</v>
      </c>
      <c r="C33" s="275"/>
      <c r="D33" s="65" t="s">
        <v>2</v>
      </c>
      <c r="E33" s="65" t="s">
        <v>313</v>
      </c>
      <c r="F33" s="66">
        <v>20</v>
      </c>
      <c r="G33" s="65" t="s">
        <v>34</v>
      </c>
      <c r="H33" s="51"/>
      <c r="I33" s="51">
        <v>1</v>
      </c>
      <c r="J33" s="51"/>
      <c r="K33" s="51"/>
      <c r="L33" s="51"/>
      <c r="M33" s="56">
        <f t="shared" si="22"/>
        <v>1</v>
      </c>
      <c r="N33" s="63">
        <v>2500000</v>
      </c>
      <c r="O33" s="48">
        <f t="shared" si="18"/>
        <v>0</v>
      </c>
      <c r="P33" s="48">
        <f t="shared" si="18"/>
        <v>2500000</v>
      </c>
      <c r="Q33" s="48">
        <f t="shared" si="18"/>
        <v>0</v>
      </c>
      <c r="R33" s="48">
        <f t="shared" si="18"/>
        <v>0</v>
      </c>
      <c r="S33" s="144">
        <f t="shared" si="18"/>
        <v>0</v>
      </c>
      <c r="T33" s="59">
        <f t="shared" si="19"/>
        <v>2500000</v>
      </c>
      <c r="U33" s="180">
        <f t="shared" si="16"/>
        <v>0</v>
      </c>
      <c r="V33" s="173">
        <f t="shared" si="16"/>
        <v>0</v>
      </c>
      <c r="W33" s="173">
        <f t="shared" si="20"/>
        <v>2500000</v>
      </c>
      <c r="X33" s="181">
        <f t="shared" si="20"/>
        <v>0</v>
      </c>
    </row>
    <row r="34" spans="2:24" s="45" customFormat="1" ht="17" thickBot="1">
      <c r="B34" s="232" t="s">
        <v>205</v>
      </c>
      <c r="C34" s="276"/>
      <c r="D34" s="67" t="s">
        <v>46</v>
      </c>
      <c r="E34" s="65" t="s">
        <v>313</v>
      </c>
      <c r="F34" s="68">
        <v>30</v>
      </c>
      <c r="G34" s="67" t="s">
        <v>6</v>
      </c>
      <c r="H34" s="52">
        <f>H33</f>
        <v>0</v>
      </c>
      <c r="I34" s="52">
        <f t="shared" ref="I34:L34" si="23">I33</f>
        <v>1</v>
      </c>
      <c r="J34" s="52">
        <f t="shared" si="23"/>
        <v>0</v>
      </c>
      <c r="K34" s="52">
        <f t="shared" si="23"/>
        <v>0</v>
      </c>
      <c r="L34" s="52">
        <f t="shared" si="23"/>
        <v>0</v>
      </c>
      <c r="M34" s="57">
        <f t="shared" si="22"/>
        <v>1</v>
      </c>
      <c r="N34" s="64">
        <v>500000</v>
      </c>
      <c r="O34" s="49">
        <f t="shared" si="18"/>
        <v>0</v>
      </c>
      <c r="P34" s="49">
        <f t="shared" si="18"/>
        <v>500000</v>
      </c>
      <c r="Q34" s="49">
        <f t="shared" si="18"/>
        <v>0</v>
      </c>
      <c r="R34" s="49">
        <f t="shared" si="18"/>
        <v>0</v>
      </c>
      <c r="S34" s="145">
        <f t="shared" si="18"/>
        <v>0</v>
      </c>
      <c r="T34" s="60">
        <f t="shared" si="19"/>
        <v>500000</v>
      </c>
      <c r="U34" s="182">
        <f t="shared" si="16"/>
        <v>0</v>
      </c>
      <c r="V34" s="183">
        <f t="shared" si="16"/>
        <v>0</v>
      </c>
      <c r="W34" s="183">
        <f t="shared" si="20"/>
        <v>500000</v>
      </c>
      <c r="X34" s="184">
        <f t="shared" si="20"/>
        <v>0</v>
      </c>
    </row>
    <row r="35" spans="2:24" s="45" customFormat="1" ht="16" thickBot="1">
      <c r="C35" s="46"/>
      <c r="D35" s="46"/>
      <c r="E35" s="46"/>
      <c r="F35" s="46"/>
      <c r="G35" s="46"/>
      <c r="H35" s="46"/>
      <c r="I35" s="46"/>
      <c r="J35" s="46"/>
      <c r="K35" s="46"/>
      <c r="L35" s="46"/>
      <c r="M35" s="46"/>
      <c r="N35" s="46"/>
      <c r="O35" s="46"/>
      <c r="P35" s="46"/>
      <c r="Q35" s="46"/>
      <c r="R35" s="46"/>
      <c r="S35" s="46"/>
      <c r="T35" s="46"/>
      <c r="U35" s="177"/>
      <c r="V35" s="177"/>
      <c r="W35" s="177"/>
      <c r="X35" s="177"/>
    </row>
    <row r="36" spans="2:24" s="45" customFormat="1" ht="16" thickBot="1">
      <c r="C36" s="47"/>
      <c r="D36" s="46"/>
      <c r="E36" s="46"/>
      <c r="F36" s="46"/>
      <c r="G36" s="46"/>
      <c r="H36" s="46"/>
      <c r="I36" s="46"/>
      <c r="J36" s="46"/>
      <c r="K36" s="46"/>
      <c r="L36" s="87"/>
      <c r="M36" s="88"/>
      <c r="N36" s="89" t="s">
        <v>105</v>
      </c>
      <c r="O36" s="83">
        <f>SUM(O19:O34)</f>
        <v>688500</v>
      </c>
      <c r="P36" s="84">
        <f>SUM(P19:P34)</f>
        <v>4490500</v>
      </c>
      <c r="Q36" s="84">
        <f>SUM(Q19:Q34)</f>
        <v>112500</v>
      </c>
      <c r="R36" s="84">
        <f>SUM(R19:R34)</f>
        <v>75000</v>
      </c>
      <c r="S36" s="85">
        <f>SUM(S19:S34)</f>
        <v>75000</v>
      </c>
      <c r="T36" s="61">
        <f>SUM(O36:S36)</f>
        <v>5441500</v>
      </c>
      <c r="U36" s="172">
        <f t="shared" ref="U36:X36" si="24">SUM(U19:U34)</f>
        <v>0</v>
      </c>
      <c r="V36" s="174">
        <f t="shared" si="24"/>
        <v>0</v>
      </c>
      <c r="W36" s="174">
        <f t="shared" si="24"/>
        <v>4441500</v>
      </c>
      <c r="X36" s="175">
        <f t="shared" si="24"/>
        <v>1000000</v>
      </c>
    </row>
    <row r="37" spans="2:24">
      <c r="C37" s="11"/>
      <c r="D37" s="2"/>
      <c r="E37" s="2"/>
      <c r="F37" s="2"/>
      <c r="G37" s="2"/>
      <c r="H37" s="2"/>
      <c r="I37" s="2"/>
      <c r="J37" s="2"/>
      <c r="K37" s="2"/>
      <c r="L37" s="2"/>
      <c r="M37" s="2"/>
      <c r="N37" s="36"/>
      <c r="O37" s="37"/>
      <c r="P37" s="37"/>
      <c r="Q37" s="37"/>
      <c r="R37" s="37"/>
      <c r="S37" s="37"/>
      <c r="T37" s="38"/>
      <c r="U37" s="38"/>
      <c r="V37" s="38"/>
      <c r="W37" s="38"/>
      <c r="X37" s="38"/>
    </row>
    <row r="38" spans="2:24" ht="16" thickBot="1">
      <c r="C38" s="9"/>
      <c r="D38" s="2"/>
      <c r="E38" s="2"/>
      <c r="F38" s="2"/>
      <c r="G38" s="2"/>
      <c r="H38" s="2"/>
      <c r="I38" s="2"/>
      <c r="J38" s="2"/>
      <c r="K38" s="2"/>
      <c r="L38" s="2"/>
      <c r="M38" s="2"/>
      <c r="N38" s="36"/>
      <c r="O38" s="37"/>
      <c r="P38" s="37"/>
      <c r="Q38" s="37"/>
      <c r="R38" s="37"/>
      <c r="S38" s="37"/>
      <c r="T38" s="38"/>
      <c r="U38" s="38"/>
      <c r="V38" s="38"/>
      <c r="W38" s="38"/>
      <c r="X38" s="38"/>
    </row>
    <row r="39" spans="2:24" s="71" customFormat="1" ht="48">
      <c r="C39" s="75" t="s">
        <v>100</v>
      </c>
      <c r="D39" s="74" t="s">
        <v>7</v>
      </c>
      <c r="E39" s="74" t="str">
        <f>E18</f>
        <v>Fin.
AFD, EU, GCF, GVNT</v>
      </c>
      <c r="F39" s="74" t="str">
        <f>F18</f>
        <v>Durée de vie (an)</v>
      </c>
      <c r="G39" s="74" t="s">
        <v>33</v>
      </c>
      <c r="H39" s="72">
        <v>2021</v>
      </c>
      <c r="I39" s="72">
        <v>2022</v>
      </c>
      <c r="J39" s="72">
        <v>2023</v>
      </c>
      <c r="K39" s="72">
        <v>2024</v>
      </c>
      <c r="L39" s="72">
        <v>2025</v>
      </c>
      <c r="M39" s="69" t="s">
        <v>44</v>
      </c>
      <c r="N39" s="62" t="s">
        <v>45</v>
      </c>
      <c r="O39" s="73" t="s">
        <v>73</v>
      </c>
      <c r="P39" s="73" t="s">
        <v>47</v>
      </c>
      <c r="Q39" s="73" t="s">
        <v>74</v>
      </c>
      <c r="R39" s="73" t="s">
        <v>75</v>
      </c>
      <c r="S39" s="73" t="s">
        <v>76</v>
      </c>
      <c r="T39" s="70" t="s">
        <v>5</v>
      </c>
      <c r="U39" s="178"/>
      <c r="V39" s="170"/>
      <c r="W39" s="170"/>
      <c r="X39" s="179"/>
    </row>
    <row r="40" spans="2:24" ht="16">
      <c r="B40" s="231" t="s">
        <v>206</v>
      </c>
      <c r="C40" s="277" t="s">
        <v>13</v>
      </c>
      <c r="D40" s="65" t="s">
        <v>19</v>
      </c>
      <c r="E40" s="65" t="s">
        <v>313</v>
      </c>
      <c r="F40" s="66">
        <v>10</v>
      </c>
      <c r="G40" s="65" t="s">
        <v>35</v>
      </c>
      <c r="H40" s="51">
        <v>1</v>
      </c>
      <c r="I40" s="51"/>
      <c r="J40" s="51"/>
      <c r="K40" s="51"/>
      <c r="L40" s="51"/>
      <c r="M40" s="56">
        <f>SUM(H40:L40)</f>
        <v>1</v>
      </c>
      <c r="N40" s="63">
        <v>300000</v>
      </c>
      <c r="O40" s="48">
        <f>H40*$N40</f>
        <v>300000</v>
      </c>
      <c r="P40" s="48">
        <f>I40*$N40</f>
        <v>0</v>
      </c>
      <c r="Q40" s="48">
        <f>J40*$N40</f>
        <v>0</v>
      </c>
      <c r="R40" s="48">
        <f>K40*$N40</f>
        <v>0</v>
      </c>
      <c r="S40" s="48">
        <f>L40*$N40</f>
        <v>0</v>
      </c>
      <c r="T40" s="59">
        <f>SUM(O40:S40)</f>
        <v>300000</v>
      </c>
      <c r="U40" s="180">
        <f>IF($E40=U$17,$T40,0)</f>
        <v>0</v>
      </c>
      <c r="V40" s="173">
        <f t="shared" ref="V40:X51" si="25">IF($E40=V$17,$T40,0)</f>
        <v>0</v>
      </c>
      <c r="W40" s="173">
        <f t="shared" si="25"/>
        <v>300000</v>
      </c>
      <c r="X40" s="181">
        <f t="shared" si="25"/>
        <v>0</v>
      </c>
    </row>
    <row r="41" spans="2:24" ht="16">
      <c r="B41" s="231" t="s">
        <v>206</v>
      </c>
      <c r="C41" s="273"/>
      <c r="D41" s="65" t="s">
        <v>89</v>
      </c>
      <c r="E41" s="65" t="s">
        <v>313</v>
      </c>
      <c r="F41" s="66">
        <v>10</v>
      </c>
      <c r="G41" s="65" t="s">
        <v>34</v>
      </c>
      <c r="H41" s="51">
        <v>1</v>
      </c>
      <c r="I41" s="51"/>
      <c r="J41" s="51"/>
      <c r="K41" s="51"/>
      <c r="L41" s="51"/>
      <c r="M41" s="56">
        <f t="shared" ref="M41:M51" si="26">SUM(H41:L41)</f>
        <v>1</v>
      </c>
      <c r="N41" s="63">
        <v>300000</v>
      </c>
      <c r="O41" s="48">
        <f t="shared" ref="O41:S51" si="27">H41*$N41</f>
        <v>300000</v>
      </c>
      <c r="P41" s="48">
        <f t="shared" si="27"/>
        <v>0</v>
      </c>
      <c r="Q41" s="48">
        <f t="shared" si="27"/>
        <v>0</v>
      </c>
      <c r="R41" s="48">
        <f t="shared" si="27"/>
        <v>0</v>
      </c>
      <c r="S41" s="48">
        <f t="shared" si="27"/>
        <v>0</v>
      </c>
      <c r="T41" s="59">
        <f t="shared" ref="T41:T51" si="28">SUM(O41:S41)</f>
        <v>300000</v>
      </c>
      <c r="U41" s="180">
        <f t="shared" ref="U41:U51" si="29">IF($E41=U$17,$T41,0)</f>
        <v>0</v>
      </c>
      <c r="V41" s="173">
        <f t="shared" si="25"/>
        <v>0</v>
      </c>
      <c r="W41" s="173">
        <f t="shared" si="25"/>
        <v>300000</v>
      </c>
      <c r="X41" s="181">
        <f t="shared" si="25"/>
        <v>0</v>
      </c>
    </row>
    <row r="42" spans="2:24" ht="16">
      <c r="B42" s="231" t="s">
        <v>206</v>
      </c>
      <c r="C42" s="273"/>
      <c r="D42" s="65" t="s">
        <v>43</v>
      </c>
      <c r="E42" s="65" t="s">
        <v>313</v>
      </c>
      <c r="F42" s="66">
        <v>10</v>
      </c>
      <c r="G42" s="65" t="s">
        <v>34</v>
      </c>
      <c r="H42" s="51">
        <v>1</v>
      </c>
      <c r="I42" s="51"/>
      <c r="J42" s="51"/>
      <c r="K42" s="51"/>
      <c r="L42" s="51"/>
      <c r="M42" s="56">
        <f t="shared" si="26"/>
        <v>1</v>
      </c>
      <c r="N42" s="63">
        <v>200000</v>
      </c>
      <c r="O42" s="48">
        <f t="shared" si="27"/>
        <v>200000</v>
      </c>
      <c r="P42" s="48">
        <f t="shared" si="27"/>
        <v>0</v>
      </c>
      <c r="Q42" s="48">
        <f t="shared" si="27"/>
        <v>0</v>
      </c>
      <c r="R42" s="48">
        <f t="shared" si="27"/>
        <v>0</v>
      </c>
      <c r="S42" s="48">
        <f t="shared" si="27"/>
        <v>0</v>
      </c>
      <c r="T42" s="59">
        <f t="shared" si="28"/>
        <v>200000</v>
      </c>
      <c r="U42" s="180">
        <f t="shared" si="29"/>
        <v>0</v>
      </c>
      <c r="V42" s="173">
        <f t="shared" si="25"/>
        <v>0</v>
      </c>
      <c r="W42" s="173">
        <f t="shared" si="25"/>
        <v>200000</v>
      </c>
      <c r="X42" s="181">
        <f t="shared" si="25"/>
        <v>0</v>
      </c>
    </row>
    <row r="43" spans="2:24" ht="16">
      <c r="B43" s="231" t="s">
        <v>206</v>
      </c>
      <c r="C43" s="273"/>
      <c r="D43" s="65" t="s">
        <v>36</v>
      </c>
      <c r="E43" s="65" t="s">
        <v>313</v>
      </c>
      <c r="F43" s="66">
        <v>10</v>
      </c>
      <c r="G43" s="65" t="s">
        <v>34</v>
      </c>
      <c r="H43" s="51"/>
      <c r="I43" s="51">
        <v>1</v>
      </c>
      <c r="J43" s="51"/>
      <c r="K43" s="51"/>
      <c r="L43" s="51"/>
      <c r="M43" s="56">
        <f t="shared" si="26"/>
        <v>1</v>
      </c>
      <c r="N43" s="63">
        <v>300000</v>
      </c>
      <c r="O43" s="48">
        <f t="shared" si="27"/>
        <v>0</v>
      </c>
      <c r="P43" s="48">
        <f t="shared" si="27"/>
        <v>300000</v>
      </c>
      <c r="Q43" s="48">
        <f t="shared" si="27"/>
        <v>0</v>
      </c>
      <c r="R43" s="48">
        <f t="shared" si="27"/>
        <v>0</v>
      </c>
      <c r="S43" s="48">
        <f t="shared" si="27"/>
        <v>0</v>
      </c>
      <c r="T43" s="59">
        <f t="shared" si="28"/>
        <v>300000</v>
      </c>
      <c r="U43" s="180">
        <f t="shared" si="29"/>
        <v>0</v>
      </c>
      <c r="V43" s="173">
        <f t="shared" si="25"/>
        <v>0</v>
      </c>
      <c r="W43" s="173">
        <f t="shared" si="25"/>
        <v>300000</v>
      </c>
      <c r="X43" s="181">
        <f t="shared" si="25"/>
        <v>0</v>
      </c>
    </row>
    <row r="44" spans="2:24" ht="16">
      <c r="B44" s="231" t="s">
        <v>206</v>
      </c>
      <c r="C44" s="273"/>
      <c r="D44" s="65" t="s">
        <v>67</v>
      </c>
      <c r="E44" s="65" t="s">
        <v>313</v>
      </c>
      <c r="F44" s="66">
        <v>10</v>
      </c>
      <c r="G44" s="65" t="s">
        <v>35</v>
      </c>
      <c r="H44" s="51"/>
      <c r="I44" s="51">
        <v>2</v>
      </c>
      <c r="J44" s="51"/>
      <c r="K44" s="51"/>
      <c r="L44" s="51"/>
      <c r="M44" s="56">
        <f t="shared" si="26"/>
        <v>2</v>
      </c>
      <c r="N44" s="63">
        <v>150000</v>
      </c>
      <c r="O44" s="48">
        <f t="shared" si="27"/>
        <v>0</v>
      </c>
      <c r="P44" s="48">
        <f t="shared" si="27"/>
        <v>300000</v>
      </c>
      <c r="Q44" s="48">
        <f t="shared" si="27"/>
        <v>0</v>
      </c>
      <c r="R44" s="48">
        <f t="shared" si="27"/>
        <v>0</v>
      </c>
      <c r="S44" s="48">
        <f t="shared" si="27"/>
        <v>0</v>
      </c>
      <c r="T44" s="59">
        <f t="shared" si="28"/>
        <v>300000</v>
      </c>
      <c r="U44" s="180">
        <f t="shared" si="29"/>
        <v>0</v>
      </c>
      <c r="V44" s="173">
        <f t="shared" si="25"/>
        <v>0</v>
      </c>
      <c r="W44" s="173">
        <f t="shared" si="25"/>
        <v>300000</v>
      </c>
      <c r="X44" s="181">
        <f t="shared" si="25"/>
        <v>0</v>
      </c>
    </row>
    <row r="45" spans="2:24" ht="16">
      <c r="B45" s="231" t="s">
        <v>206</v>
      </c>
      <c r="C45" s="273"/>
      <c r="D45" s="65" t="s">
        <v>37</v>
      </c>
      <c r="E45" s="65" t="s">
        <v>313</v>
      </c>
      <c r="F45" s="66"/>
      <c r="G45" s="65" t="s">
        <v>35</v>
      </c>
      <c r="H45" s="51"/>
      <c r="I45" s="51"/>
      <c r="J45" s="51"/>
      <c r="K45" s="51"/>
      <c r="L45" s="51"/>
      <c r="M45" s="56">
        <f t="shared" si="26"/>
        <v>0</v>
      </c>
      <c r="N45" s="63">
        <v>360000</v>
      </c>
      <c r="O45" s="48">
        <f t="shared" si="27"/>
        <v>0</v>
      </c>
      <c r="P45" s="48">
        <f t="shared" si="27"/>
        <v>0</v>
      </c>
      <c r="Q45" s="48">
        <f t="shared" si="27"/>
        <v>0</v>
      </c>
      <c r="R45" s="48">
        <f t="shared" si="27"/>
        <v>0</v>
      </c>
      <c r="S45" s="48">
        <f t="shared" si="27"/>
        <v>0</v>
      </c>
      <c r="T45" s="59">
        <f t="shared" si="28"/>
        <v>0</v>
      </c>
      <c r="U45" s="180">
        <f t="shared" si="29"/>
        <v>0</v>
      </c>
      <c r="V45" s="173">
        <f t="shared" si="25"/>
        <v>0</v>
      </c>
      <c r="W45" s="173">
        <f t="shared" si="25"/>
        <v>0</v>
      </c>
      <c r="X45" s="181">
        <f t="shared" si="25"/>
        <v>0</v>
      </c>
    </row>
    <row r="46" spans="2:24" ht="16">
      <c r="B46" s="231" t="s">
        <v>206</v>
      </c>
      <c r="C46" s="273"/>
      <c r="D46" s="65" t="s">
        <v>3</v>
      </c>
      <c r="E46" s="65" t="s">
        <v>313</v>
      </c>
      <c r="F46" s="66">
        <v>10</v>
      </c>
      <c r="G46" s="65" t="s">
        <v>35</v>
      </c>
      <c r="H46" s="51"/>
      <c r="I46" s="51">
        <v>1</v>
      </c>
      <c r="J46" s="51"/>
      <c r="K46" s="51"/>
      <c r="L46" s="51"/>
      <c r="M46" s="56">
        <f t="shared" si="26"/>
        <v>1</v>
      </c>
      <c r="N46" s="63">
        <v>600000</v>
      </c>
      <c r="O46" s="48">
        <f t="shared" si="27"/>
        <v>0</v>
      </c>
      <c r="P46" s="48">
        <f t="shared" si="27"/>
        <v>600000</v>
      </c>
      <c r="Q46" s="48">
        <f t="shared" si="27"/>
        <v>0</v>
      </c>
      <c r="R46" s="48">
        <f t="shared" si="27"/>
        <v>0</v>
      </c>
      <c r="S46" s="48">
        <f t="shared" si="27"/>
        <v>0</v>
      </c>
      <c r="T46" s="59">
        <f t="shared" si="28"/>
        <v>600000</v>
      </c>
      <c r="U46" s="180">
        <f t="shared" si="29"/>
        <v>0</v>
      </c>
      <c r="V46" s="173">
        <f t="shared" si="25"/>
        <v>0</v>
      </c>
      <c r="W46" s="173">
        <f t="shared" si="25"/>
        <v>600000</v>
      </c>
      <c r="X46" s="181">
        <f t="shared" si="25"/>
        <v>0</v>
      </c>
    </row>
    <row r="47" spans="2:24" ht="16">
      <c r="B47" s="231" t="s">
        <v>206</v>
      </c>
      <c r="C47" s="273"/>
      <c r="D47" s="65" t="s">
        <v>38</v>
      </c>
      <c r="E47" s="65" t="s">
        <v>313</v>
      </c>
      <c r="F47" s="66">
        <v>10</v>
      </c>
      <c r="G47" s="65" t="s">
        <v>35</v>
      </c>
      <c r="H47" s="51"/>
      <c r="I47" s="51">
        <v>0.75</v>
      </c>
      <c r="J47" s="51">
        <v>0.25</v>
      </c>
      <c r="K47" s="51"/>
      <c r="L47" s="51"/>
      <c r="M47" s="56">
        <f t="shared" si="26"/>
        <v>1</v>
      </c>
      <c r="N47" s="63">
        <v>600000</v>
      </c>
      <c r="O47" s="48">
        <f t="shared" si="27"/>
        <v>0</v>
      </c>
      <c r="P47" s="48">
        <f t="shared" si="27"/>
        <v>450000</v>
      </c>
      <c r="Q47" s="48">
        <f t="shared" si="27"/>
        <v>150000</v>
      </c>
      <c r="R47" s="48">
        <f t="shared" si="27"/>
        <v>0</v>
      </c>
      <c r="S47" s="48">
        <f t="shared" si="27"/>
        <v>0</v>
      </c>
      <c r="T47" s="59">
        <f t="shared" si="28"/>
        <v>600000</v>
      </c>
      <c r="U47" s="180">
        <f t="shared" si="29"/>
        <v>0</v>
      </c>
      <c r="V47" s="173">
        <f t="shared" si="25"/>
        <v>0</v>
      </c>
      <c r="W47" s="173">
        <f t="shared" si="25"/>
        <v>600000</v>
      </c>
      <c r="X47" s="181">
        <f t="shared" si="25"/>
        <v>0</v>
      </c>
    </row>
    <row r="48" spans="2:24" ht="16">
      <c r="B48" s="231" t="s">
        <v>206</v>
      </c>
      <c r="C48" s="273"/>
      <c r="D48" s="65" t="s">
        <v>15</v>
      </c>
      <c r="E48" s="65" t="s">
        <v>313</v>
      </c>
      <c r="F48" s="66"/>
      <c r="G48" s="65" t="s">
        <v>34</v>
      </c>
      <c r="H48" s="51"/>
      <c r="I48" s="51"/>
      <c r="J48" s="51"/>
      <c r="K48" s="51"/>
      <c r="L48" s="51"/>
      <c r="M48" s="56">
        <f t="shared" si="26"/>
        <v>0</v>
      </c>
      <c r="N48" s="63">
        <v>72000</v>
      </c>
      <c r="O48" s="48">
        <f t="shared" si="27"/>
        <v>0</v>
      </c>
      <c r="P48" s="48">
        <f t="shared" si="27"/>
        <v>0</v>
      </c>
      <c r="Q48" s="48">
        <f t="shared" si="27"/>
        <v>0</v>
      </c>
      <c r="R48" s="48">
        <f t="shared" si="27"/>
        <v>0</v>
      </c>
      <c r="S48" s="48">
        <f t="shared" si="27"/>
        <v>0</v>
      </c>
      <c r="T48" s="59">
        <f t="shared" si="28"/>
        <v>0</v>
      </c>
      <c r="U48" s="180">
        <f t="shared" si="29"/>
        <v>0</v>
      </c>
      <c r="V48" s="173">
        <f t="shared" si="25"/>
        <v>0</v>
      </c>
      <c r="W48" s="173">
        <f t="shared" si="25"/>
        <v>0</v>
      </c>
      <c r="X48" s="181">
        <f t="shared" si="25"/>
        <v>0</v>
      </c>
    </row>
    <row r="49" spans="2:24" ht="16">
      <c r="B49" s="231" t="s">
        <v>206</v>
      </c>
      <c r="C49" s="273"/>
      <c r="D49" s="65" t="s">
        <v>25</v>
      </c>
      <c r="E49" s="65" t="s">
        <v>313</v>
      </c>
      <c r="F49" s="66">
        <v>10</v>
      </c>
      <c r="G49" s="65" t="s">
        <v>35</v>
      </c>
      <c r="H49" s="51"/>
      <c r="I49" s="51"/>
      <c r="J49" s="51"/>
      <c r="K49" s="51"/>
      <c r="L49" s="51"/>
      <c r="M49" s="56">
        <f t="shared" si="26"/>
        <v>0</v>
      </c>
      <c r="N49" s="63">
        <v>420000</v>
      </c>
      <c r="O49" s="48">
        <f t="shared" si="27"/>
        <v>0</v>
      </c>
      <c r="P49" s="48">
        <f t="shared" si="27"/>
        <v>0</v>
      </c>
      <c r="Q49" s="48">
        <f t="shared" si="27"/>
        <v>0</v>
      </c>
      <c r="R49" s="48">
        <f t="shared" si="27"/>
        <v>0</v>
      </c>
      <c r="S49" s="48">
        <f t="shared" si="27"/>
        <v>0</v>
      </c>
      <c r="T49" s="59">
        <f t="shared" si="28"/>
        <v>0</v>
      </c>
      <c r="U49" s="180">
        <f t="shared" si="29"/>
        <v>0</v>
      </c>
      <c r="V49" s="173">
        <f t="shared" si="25"/>
        <v>0</v>
      </c>
      <c r="W49" s="173">
        <f t="shared" si="25"/>
        <v>0</v>
      </c>
      <c r="X49" s="181">
        <f t="shared" si="25"/>
        <v>0</v>
      </c>
    </row>
    <row r="50" spans="2:24" ht="16">
      <c r="B50" s="1" t="s">
        <v>211</v>
      </c>
      <c r="C50" s="273"/>
      <c r="D50" s="65" t="s">
        <v>42</v>
      </c>
      <c r="E50" s="65" t="s">
        <v>313</v>
      </c>
      <c r="F50" s="66"/>
      <c r="G50" s="65" t="s">
        <v>35</v>
      </c>
      <c r="H50" s="51"/>
      <c r="I50" s="51">
        <v>1</v>
      </c>
      <c r="J50" s="51"/>
      <c r="K50" s="51"/>
      <c r="L50" s="51"/>
      <c r="M50" s="56">
        <f t="shared" si="26"/>
        <v>1</v>
      </c>
      <c r="N50" s="63">
        <v>300000</v>
      </c>
      <c r="O50" s="48">
        <f t="shared" si="27"/>
        <v>0</v>
      </c>
      <c r="P50" s="48">
        <f t="shared" si="27"/>
        <v>300000</v>
      </c>
      <c r="Q50" s="48">
        <f t="shared" si="27"/>
        <v>0</v>
      </c>
      <c r="R50" s="48">
        <f t="shared" si="27"/>
        <v>0</v>
      </c>
      <c r="S50" s="48">
        <f t="shared" si="27"/>
        <v>0</v>
      </c>
      <c r="T50" s="59">
        <f t="shared" si="28"/>
        <v>300000</v>
      </c>
      <c r="U50" s="180">
        <f t="shared" si="29"/>
        <v>0</v>
      </c>
      <c r="V50" s="173">
        <f t="shared" si="25"/>
        <v>0</v>
      </c>
      <c r="W50" s="173">
        <f t="shared" si="25"/>
        <v>300000</v>
      </c>
      <c r="X50" s="181">
        <f t="shared" si="25"/>
        <v>0</v>
      </c>
    </row>
    <row r="51" spans="2:24" ht="33" thickBot="1">
      <c r="B51" s="231" t="s">
        <v>210</v>
      </c>
      <c r="C51" s="274"/>
      <c r="D51" s="67" t="s">
        <v>125</v>
      </c>
      <c r="E51" s="65" t="s">
        <v>313</v>
      </c>
      <c r="F51" s="68">
        <v>10</v>
      </c>
      <c r="G51" s="67" t="s">
        <v>35</v>
      </c>
      <c r="H51" s="52"/>
      <c r="I51" s="52">
        <v>1</v>
      </c>
      <c r="J51" s="52">
        <v>1</v>
      </c>
      <c r="K51" s="52"/>
      <c r="L51" s="52"/>
      <c r="M51" s="57">
        <f t="shared" si="26"/>
        <v>2</v>
      </c>
      <c r="N51" s="64">
        <v>150000</v>
      </c>
      <c r="O51" s="49">
        <f t="shared" si="27"/>
        <v>0</v>
      </c>
      <c r="P51" s="49">
        <f t="shared" si="27"/>
        <v>150000</v>
      </c>
      <c r="Q51" s="49">
        <f t="shared" si="27"/>
        <v>150000</v>
      </c>
      <c r="R51" s="49">
        <f t="shared" si="27"/>
        <v>0</v>
      </c>
      <c r="S51" s="49">
        <f t="shared" si="27"/>
        <v>0</v>
      </c>
      <c r="T51" s="60">
        <f t="shared" si="28"/>
        <v>300000</v>
      </c>
      <c r="U51" s="182">
        <f t="shared" si="29"/>
        <v>0</v>
      </c>
      <c r="V51" s="183">
        <f t="shared" si="25"/>
        <v>0</v>
      </c>
      <c r="W51" s="183">
        <f t="shared" si="25"/>
        <v>300000</v>
      </c>
      <c r="X51" s="184">
        <f t="shared" si="25"/>
        <v>0</v>
      </c>
    </row>
    <row r="52" spans="2:24" ht="16" thickBot="1">
      <c r="C52" s="9"/>
      <c r="D52" s="9"/>
      <c r="E52" s="9"/>
      <c r="F52" s="9"/>
      <c r="G52" s="9"/>
      <c r="H52" s="9"/>
      <c r="I52" s="9"/>
      <c r="J52" s="9"/>
      <c r="K52" s="9"/>
      <c r="L52" s="9"/>
      <c r="M52" s="9"/>
      <c r="N52" s="37"/>
      <c r="O52" s="37"/>
      <c r="P52" s="37"/>
      <c r="Q52" s="37"/>
      <c r="R52" s="37"/>
      <c r="S52" s="37"/>
      <c r="T52" s="37"/>
      <c r="U52" s="37"/>
      <c r="V52" s="37"/>
      <c r="W52" s="37"/>
      <c r="X52" s="37"/>
    </row>
    <row r="53" spans="2:24" s="45" customFormat="1" ht="16" thickBot="1">
      <c r="C53" s="47"/>
      <c r="D53" s="46"/>
      <c r="E53" s="46"/>
      <c r="F53" s="46"/>
      <c r="G53" s="46"/>
      <c r="H53" s="46"/>
      <c r="I53" s="46"/>
      <c r="J53" s="46"/>
      <c r="K53" s="46"/>
      <c r="L53" s="87"/>
      <c r="M53" s="88"/>
      <c r="N53" s="89" t="s">
        <v>106</v>
      </c>
      <c r="O53" s="83">
        <f>SUM(O40:O51)</f>
        <v>800000</v>
      </c>
      <c r="P53" s="84">
        <f t="shared" ref="P53:S53" si="30">SUM(P40:P51)</f>
        <v>2100000</v>
      </c>
      <c r="Q53" s="84">
        <f t="shared" si="30"/>
        <v>300000</v>
      </c>
      <c r="R53" s="84">
        <f t="shared" si="30"/>
        <v>0</v>
      </c>
      <c r="S53" s="85">
        <f t="shared" si="30"/>
        <v>0</v>
      </c>
      <c r="T53" s="61">
        <f>SUM(O53:S53)</f>
        <v>3200000</v>
      </c>
      <c r="U53" s="172">
        <f>SUM(U40:U51)</f>
        <v>0</v>
      </c>
      <c r="V53" s="174">
        <f t="shared" ref="V53:X53" si="31">SUM(V40:V51)</f>
        <v>0</v>
      </c>
      <c r="W53" s="174">
        <f t="shared" si="31"/>
        <v>3200000</v>
      </c>
      <c r="X53" s="175">
        <f t="shared" si="31"/>
        <v>0</v>
      </c>
    </row>
    <row r="54" spans="2:24">
      <c r="C54" s="9"/>
      <c r="D54" s="9"/>
      <c r="E54" s="9"/>
      <c r="F54" s="9"/>
      <c r="G54" s="9"/>
      <c r="H54" s="9"/>
      <c r="I54" s="9"/>
      <c r="J54" s="9"/>
      <c r="K54" s="9"/>
      <c r="L54" s="9"/>
      <c r="M54" s="9"/>
      <c r="N54" s="9"/>
      <c r="O54" s="3"/>
      <c r="P54" s="3"/>
      <c r="Q54" s="3"/>
      <c r="R54" s="3"/>
      <c r="S54" s="3"/>
      <c r="T54" s="12"/>
      <c r="U54" s="12"/>
      <c r="V54" s="12"/>
      <c r="W54" s="12"/>
      <c r="X54" s="12"/>
    </row>
    <row r="55" spans="2:24" ht="16" thickBot="1">
      <c r="C55" s="16"/>
      <c r="D55" s="9"/>
      <c r="E55" s="9"/>
      <c r="F55" s="9"/>
      <c r="G55" s="9"/>
      <c r="H55" s="9"/>
      <c r="I55" s="9"/>
      <c r="J55" s="5"/>
      <c r="K55" s="5"/>
      <c r="L55" s="5"/>
      <c r="M55" s="5"/>
      <c r="N55" s="4"/>
      <c r="O55" s="41"/>
      <c r="P55" s="41"/>
      <c r="Q55" s="41"/>
      <c r="R55" s="41"/>
      <c r="S55" s="41"/>
      <c r="T55" s="42"/>
      <c r="U55" s="42"/>
      <c r="V55" s="42"/>
      <c r="W55" s="42"/>
      <c r="X55" s="42"/>
    </row>
    <row r="56" spans="2:24" s="71" customFormat="1" ht="48">
      <c r="C56" s="75" t="s">
        <v>101</v>
      </c>
      <c r="D56" s="74" t="s">
        <v>7</v>
      </c>
      <c r="E56" s="74" t="str">
        <f>E18</f>
        <v>Fin.
AFD, EU, GCF, GVNT</v>
      </c>
      <c r="F56" s="74" t="str">
        <f>F18</f>
        <v>Durée de vie (an)</v>
      </c>
      <c r="G56" s="74" t="s">
        <v>33</v>
      </c>
      <c r="H56" s="72">
        <v>2021</v>
      </c>
      <c r="I56" s="72">
        <v>2022</v>
      </c>
      <c r="J56" s="72">
        <v>2023</v>
      </c>
      <c r="K56" s="72">
        <v>2024</v>
      </c>
      <c r="L56" s="72">
        <v>2025</v>
      </c>
      <c r="M56" s="69" t="s">
        <v>44</v>
      </c>
      <c r="N56" s="62" t="s">
        <v>45</v>
      </c>
      <c r="O56" s="73" t="s">
        <v>9</v>
      </c>
      <c r="P56" s="73" t="s">
        <v>10</v>
      </c>
      <c r="Q56" s="73" t="s">
        <v>11</v>
      </c>
      <c r="R56" s="73" t="s">
        <v>12</v>
      </c>
      <c r="S56" s="73" t="s">
        <v>47</v>
      </c>
      <c r="T56" s="70" t="s">
        <v>28</v>
      </c>
      <c r="U56" s="185"/>
      <c r="V56" s="186"/>
      <c r="W56" s="186"/>
      <c r="X56" s="187"/>
    </row>
    <row r="57" spans="2:24" ht="16">
      <c r="B57" s="231" t="s">
        <v>207</v>
      </c>
      <c r="C57" s="277"/>
      <c r="D57" s="65" t="s">
        <v>53</v>
      </c>
      <c r="E57" s="65" t="s">
        <v>312</v>
      </c>
      <c r="F57" s="66"/>
      <c r="G57" s="65" t="s">
        <v>39</v>
      </c>
      <c r="H57" s="51">
        <v>1</v>
      </c>
      <c r="I57" s="51">
        <v>1</v>
      </c>
      <c r="J57" s="51"/>
      <c r="K57" s="51"/>
      <c r="L57" s="51"/>
      <c r="M57" s="56">
        <f t="shared" ref="M57:M62" si="32">SUM(H57:L57)</f>
        <v>2</v>
      </c>
      <c r="N57" s="63">
        <v>300000</v>
      </c>
      <c r="O57" s="48">
        <f>H57*$N57</f>
        <v>300000</v>
      </c>
      <c r="P57" s="48">
        <f>I57*$N57</f>
        <v>300000</v>
      </c>
      <c r="Q57" s="48">
        <f>J57*$N57</f>
        <v>0</v>
      </c>
      <c r="R57" s="48">
        <f>K57*$N57</f>
        <v>0</v>
      </c>
      <c r="S57" s="48">
        <f>L57*$N57</f>
        <v>0</v>
      </c>
      <c r="T57" s="59">
        <f>SUM(O57:S57)</f>
        <v>600000</v>
      </c>
      <c r="U57" s="180">
        <f>IF($E57=U$17,$T57,0)</f>
        <v>0</v>
      </c>
      <c r="V57" s="173">
        <f t="shared" ref="V57:X63" si="33">IF($E57=V$17,$T57,0)</f>
        <v>600000</v>
      </c>
      <c r="W57" s="173">
        <f t="shared" si="33"/>
        <v>0</v>
      </c>
      <c r="X57" s="181">
        <f t="shared" si="33"/>
        <v>0</v>
      </c>
    </row>
    <row r="58" spans="2:24" ht="16">
      <c r="B58" s="231" t="s">
        <v>207</v>
      </c>
      <c r="C58" s="273"/>
      <c r="D58" s="76" t="s">
        <v>50</v>
      </c>
      <c r="E58" s="65" t="s">
        <v>312</v>
      </c>
      <c r="F58" s="77"/>
      <c r="G58" s="76" t="s">
        <v>34</v>
      </c>
      <c r="H58" s="78"/>
      <c r="I58" s="78"/>
      <c r="J58" s="78"/>
      <c r="K58" s="78"/>
      <c r="L58" s="78"/>
      <c r="M58" s="79">
        <f t="shared" si="32"/>
        <v>0</v>
      </c>
      <c r="N58" s="80">
        <v>15000</v>
      </c>
      <c r="O58" s="81">
        <f t="shared" ref="O58:S63" si="34">H58*$N58</f>
        <v>0</v>
      </c>
      <c r="P58" s="81">
        <f t="shared" si="34"/>
        <v>0</v>
      </c>
      <c r="Q58" s="81">
        <f t="shared" si="34"/>
        <v>0</v>
      </c>
      <c r="R58" s="81">
        <f t="shared" si="34"/>
        <v>0</v>
      </c>
      <c r="S58" s="81">
        <f t="shared" si="34"/>
        <v>0</v>
      </c>
      <c r="T58" s="82">
        <f t="shared" ref="T58:T63" si="35">SUM(O58:S58)</f>
        <v>0</v>
      </c>
      <c r="U58" s="180">
        <f t="shared" ref="U58:U63" si="36">IF($E58=U$17,$T58,0)</f>
        <v>0</v>
      </c>
      <c r="V58" s="173">
        <f t="shared" si="33"/>
        <v>0</v>
      </c>
      <c r="W58" s="173">
        <f t="shared" si="33"/>
        <v>0</v>
      </c>
      <c r="X58" s="181">
        <f t="shared" si="33"/>
        <v>0</v>
      </c>
    </row>
    <row r="59" spans="2:24" ht="16">
      <c r="B59" s="231" t="s">
        <v>207</v>
      </c>
      <c r="C59" s="273"/>
      <c r="D59" s="76" t="s">
        <v>51</v>
      </c>
      <c r="E59" s="65" t="s">
        <v>312</v>
      </c>
      <c r="F59" s="77"/>
      <c r="G59" s="76" t="s">
        <v>34</v>
      </c>
      <c r="H59" s="78"/>
      <c r="I59" s="78"/>
      <c r="J59" s="78"/>
      <c r="K59" s="78"/>
      <c r="L59" s="78"/>
      <c r="M59" s="79">
        <f t="shared" si="32"/>
        <v>0</v>
      </c>
      <c r="N59" s="80">
        <v>5000</v>
      </c>
      <c r="O59" s="81">
        <f t="shared" si="34"/>
        <v>0</v>
      </c>
      <c r="P59" s="81">
        <f t="shared" si="34"/>
        <v>0</v>
      </c>
      <c r="Q59" s="81">
        <f t="shared" si="34"/>
        <v>0</v>
      </c>
      <c r="R59" s="81">
        <f t="shared" si="34"/>
        <v>0</v>
      </c>
      <c r="S59" s="81">
        <f t="shared" si="34"/>
        <v>0</v>
      </c>
      <c r="T59" s="82">
        <f t="shared" si="35"/>
        <v>0</v>
      </c>
      <c r="U59" s="180">
        <f t="shared" si="36"/>
        <v>0</v>
      </c>
      <c r="V59" s="173">
        <f t="shared" si="33"/>
        <v>0</v>
      </c>
      <c r="W59" s="173">
        <f t="shared" si="33"/>
        <v>0</v>
      </c>
      <c r="X59" s="181">
        <f t="shared" si="33"/>
        <v>0</v>
      </c>
    </row>
    <row r="60" spans="2:24" ht="16">
      <c r="B60" s="231" t="s">
        <v>207</v>
      </c>
      <c r="C60" s="273"/>
      <c r="D60" s="76" t="s">
        <v>52</v>
      </c>
      <c r="E60" s="65" t="s">
        <v>312</v>
      </c>
      <c r="F60" s="77"/>
      <c r="G60" s="76" t="s">
        <v>34</v>
      </c>
      <c r="H60" s="78">
        <v>1</v>
      </c>
      <c r="I60" s="78">
        <v>1</v>
      </c>
      <c r="J60" s="78"/>
      <c r="K60" s="78"/>
      <c r="L60" s="78"/>
      <c r="M60" s="79">
        <f t="shared" si="32"/>
        <v>2</v>
      </c>
      <c r="N60" s="80">
        <v>20000</v>
      </c>
      <c r="O60" s="81">
        <f t="shared" si="34"/>
        <v>20000</v>
      </c>
      <c r="P60" s="81">
        <f t="shared" si="34"/>
        <v>20000</v>
      </c>
      <c r="Q60" s="81">
        <f t="shared" si="34"/>
        <v>0</v>
      </c>
      <c r="R60" s="81">
        <f t="shared" si="34"/>
        <v>0</v>
      </c>
      <c r="S60" s="81">
        <f t="shared" si="34"/>
        <v>0</v>
      </c>
      <c r="T60" s="82">
        <f t="shared" si="35"/>
        <v>40000</v>
      </c>
      <c r="U60" s="180">
        <f t="shared" si="36"/>
        <v>0</v>
      </c>
      <c r="V60" s="173">
        <f t="shared" si="33"/>
        <v>40000</v>
      </c>
      <c r="W60" s="173">
        <f t="shared" si="33"/>
        <v>0</v>
      </c>
      <c r="X60" s="181">
        <f t="shared" si="33"/>
        <v>0</v>
      </c>
    </row>
    <row r="61" spans="2:24" ht="48">
      <c r="B61" s="231" t="s">
        <v>199</v>
      </c>
      <c r="C61" s="273"/>
      <c r="D61" s="76" t="s">
        <v>80</v>
      </c>
      <c r="E61" s="65" t="s">
        <v>312</v>
      </c>
      <c r="F61" s="77"/>
      <c r="G61" s="76" t="s">
        <v>39</v>
      </c>
      <c r="H61" s="78"/>
      <c r="I61" s="78">
        <v>1</v>
      </c>
      <c r="J61" s="78"/>
      <c r="K61" s="78"/>
      <c r="L61" s="78"/>
      <c r="M61" s="79">
        <f t="shared" si="32"/>
        <v>1</v>
      </c>
      <c r="N61" s="80">
        <v>300000</v>
      </c>
      <c r="O61" s="81">
        <f t="shared" si="34"/>
        <v>0</v>
      </c>
      <c r="P61" s="81">
        <f t="shared" si="34"/>
        <v>300000</v>
      </c>
      <c r="Q61" s="81">
        <f t="shared" si="34"/>
        <v>0</v>
      </c>
      <c r="R61" s="81">
        <f t="shared" si="34"/>
        <v>0</v>
      </c>
      <c r="S61" s="81">
        <f t="shared" si="34"/>
        <v>0</v>
      </c>
      <c r="T61" s="82">
        <f t="shared" si="35"/>
        <v>300000</v>
      </c>
      <c r="U61" s="180">
        <f t="shared" si="36"/>
        <v>0</v>
      </c>
      <c r="V61" s="173">
        <f t="shared" si="33"/>
        <v>300000</v>
      </c>
      <c r="W61" s="173">
        <f t="shared" si="33"/>
        <v>0</v>
      </c>
      <c r="X61" s="181">
        <f t="shared" si="33"/>
        <v>0</v>
      </c>
    </row>
    <row r="62" spans="2:24" ht="32">
      <c r="B62" s="231" t="s">
        <v>208</v>
      </c>
      <c r="C62" s="273"/>
      <c r="D62" s="76" t="s">
        <v>54</v>
      </c>
      <c r="E62" s="65" t="s">
        <v>312</v>
      </c>
      <c r="F62" s="77"/>
      <c r="G62" s="76" t="s">
        <v>39</v>
      </c>
      <c r="H62" s="78"/>
      <c r="I62" s="78"/>
      <c r="J62" s="78">
        <v>1</v>
      </c>
      <c r="K62" s="78"/>
      <c r="L62" s="78"/>
      <c r="M62" s="79">
        <f t="shared" si="32"/>
        <v>1</v>
      </c>
      <c r="N62" s="80">
        <v>300000</v>
      </c>
      <c r="O62" s="81">
        <f t="shared" si="34"/>
        <v>0</v>
      </c>
      <c r="P62" s="81">
        <f t="shared" si="34"/>
        <v>0</v>
      </c>
      <c r="Q62" s="81">
        <f t="shared" si="34"/>
        <v>300000</v>
      </c>
      <c r="R62" s="81">
        <f t="shared" si="34"/>
        <v>0</v>
      </c>
      <c r="S62" s="81">
        <f t="shared" si="34"/>
        <v>0</v>
      </c>
      <c r="T62" s="82">
        <f t="shared" si="35"/>
        <v>300000</v>
      </c>
      <c r="U62" s="180">
        <f t="shared" si="36"/>
        <v>0</v>
      </c>
      <c r="V62" s="173">
        <f t="shared" si="33"/>
        <v>300000</v>
      </c>
      <c r="W62" s="173">
        <f t="shared" si="33"/>
        <v>0</v>
      </c>
      <c r="X62" s="181">
        <f t="shared" si="33"/>
        <v>0</v>
      </c>
    </row>
    <row r="63" spans="2:24" ht="65" thickBot="1">
      <c r="B63" s="231" t="s">
        <v>215</v>
      </c>
      <c r="C63" s="274"/>
      <c r="D63" s="67" t="s">
        <v>55</v>
      </c>
      <c r="E63" s="65" t="s">
        <v>312</v>
      </c>
      <c r="F63" s="68"/>
      <c r="G63" s="67" t="s">
        <v>39</v>
      </c>
      <c r="H63" s="52"/>
      <c r="I63" s="52"/>
      <c r="J63" s="52"/>
      <c r="K63" s="52">
        <v>1</v>
      </c>
      <c r="L63" s="52"/>
      <c r="M63" s="57">
        <f>SUM(H63:L63)</f>
        <v>1</v>
      </c>
      <c r="N63" s="64">
        <v>300000</v>
      </c>
      <c r="O63" s="49">
        <f t="shared" si="34"/>
        <v>0</v>
      </c>
      <c r="P63" s="49">
        <f t="shared" si="34"/>
        <v>0</v>
      </c>
      <c r="Q63" s="49">
        <f t="shared" si="34"/>
        <v>0</v>
      </c>
      <c r="R63" s="49">
        <f t="shared" si="34"/>
        <v>300000</v>
      </c>
      <c r="S63" s="49">
        <f t="shared" si="34"/>
        <v>0</v>
      </c>
      <c r="T63" s="60">
        <f t="shared" si="35"/>
        <v>300000</v>
      </c>
      <c r="U63" s="182">
        <f t="shared" si="36"/>
        <v>0</v>
      </c>
      <c r="V63" s="183">
        <f t="shared" si="33"/>
        <v>300000</v>
      </c>
      <c r="W63" s="183">
        <f t="shared" si="33"/>
        <v>0</v>
      </c>
      <c r="X63" s="184">
        <f t="shared" si="33"/>
        <v>0</v>
      </c>
    </row>
    <row r="64" spans="2:24" ht="16" thickBot="1">
      <c r="C64" s="16"/>
      <c r="D64" s="9"/>
      <c r="E64" s="9"/>
      <c r="F64" s="9"/>
      <c r="G64" s="9"/>
      <c r="H64" s="9"/>
      <c r="I64" s="9"/>
      <c r="J64" s="5"/>
      <c r="K64" s="5"/>
      <c r="L64" s="5"/>
      <c r="M64" s="5"/>
      <c r="N64" s="4"/>
      <c r="O64" s="39"/>
      <c r="P64" s="39"/>
      <c r="Q64" s="40"/>
      <c r="R64" s="40"/>
      <c r="S64" s="40"/>
      <c r="T64" s="41"/>
      <c r="U64" s="41"/>
      <c r="V64" s="41"/>
      <c r="W64" s="41"/>
      <c r="X64" s="41"/>
    </row>
    <row r="65" spans="2:24" s="45" customFormat="1" ht="16" thickBot="1">
      <c r="C65" s="47"/>
      <c r="D65" s="46"/>
      <c r="E65" s="46"/>
      <c r="F65" s="46"/>
      <c r="G65" s="46"/>
      <c r="H65" s="46"/>
      <c r="I65" s="46"/>
      <c r="J65" s="46"/>
      <c r="K65" s="46"/>
      <c r="L65" s="87"/>
      <c r="M65" s="88"/>
      <c r="N65" s="89" t="s">
        <v>108</v>
      </c>
      <c r="O65" s="83">
        <f>SUM(O57:O63)</f>
        <v>320000</v>
      </c>
      <c r="P65" s="84">
        <f>SUM(P57:P63)</f>
        <v>620000</v>
      </c>
      <c r="Q65" s="84">
        <f>SUM(Q57:Q63)</f>
        <v>300000</v>
      </c>
      <c r="R65" s="84">
        <f>SUM(R57:R63)</f>
        <v>300000</v>
      </c>
      <c r="S65" s="85">
        <f>SUM(S57:S63)</f>
        <v>0</v>
      </c>
      <c r="T65" s="61">
        <f>SUM(O65:S65)</f>
        <v>1540000</v>
      </c>
      <c r="U65" s="172">
        <f>SUM(U57:U63)</f>
        <v>0</v>
      </c>
      <c r="V65" s="174">
        <f t="shared" ref="V65:X65" si="37">SUM(V57:V63)</f>
        <v>1540000</v>
      </c>
      <c r="W65" s="174">
        <f t="shared" si="37"/>
        <v>0</v>
      </c>
      <c r="X65" s="175">
        <f t="shared" si="37"/>
        <v>0</v>
      </c>
    </row>
    <row r="66" spans="2:24" s="2" customFormat="1">
      <c r="C66" s="16"/>
      <c r="D66" s="9"/>
      <c r="E66" s="9"/>
      <c r="F66" s="9"/>
      <c r="G66" s="9"/>
      <c r="H66" s="9"/>
      <c r="I66" s="9"/>
      <c r="J66" s="5"/>
      <c r="K66" s="5"/>
      <c r="L66" s="5"/>
      <c r="M66" s="5"/>
      <c r="N66" s="4"/>
      <c r="O66" s="41"/>
      <c r="P66" s="41"/>
      <c r="Q66" s="41"/>
      <c r="R66" s="41"/>
      <c r="S66" s="41"/>
      <c r="T66" s="42"/>
      <c r="U66" s="42"/>
      <c r="V66" s="42"/>
      <c r="W66" s="42"/>
      <c r="X66" s="42"/>
    </row>
    <row r="67" spans="2:24" ht="16" thickBot="1">
      <c r="C67" s="16"/>
      <c r="D67" s="9"/>
      <c r="E67" s="9"/>
      <c r="F67" s="9"/>
      <c r="G67" s="9"/>
      <c r="H67" s="9"/>
      <c r="I67" s="9"/>
      <c r="J67" s="5"/>
      <c r="K67" s="5"/>
      <c r="L67" s="5"/>
      <c r="M67" s="5"/>
      <c r="N67" s="4"/>
      <c r="O67" s="41"/>
      <c r="P67" s="41"/>
      <c r="Q67" s="41"/>
      <c r="R67" s="41"/>
      <c r="S67" s="41"/>
      <c r="T67" s="42"/>
      <c r="U67" s="42"/>
      <c r="V67" s="42"/>
      <c r="W67" s="42"/>
      <c r="X67" s="42"/>
    </row>
    <row r="68" spans="2:24" s="71" customFormat="1" ht="48">
      <c r="C68" s="75" t="s">
        <v>101</v>
      </c>
      <c r="D68" s="74" t="s">
        <v>7</v>
      </c>
      <c r="E68" s="74" t="str">
        <f>E18</f>
        <v>Fin.
AFD, EU, GCF, GVNT</v>
      </c>
      <c r="F68" s="74" t="str">
        <f>F18</f>
        <v>Durée de vie (an)</v>
      </c>
      <c r="G68" s="74" t="s">
        <v>33</v>
      </c>
      <c r="H68" s="72">
        <v>2021</v>
      </c>
      <c r="I68" s="72">
        <v>2022</v>
      </c>
      <c r="J68" s="72">
        <v>2023</v>
      </c>
      <c r="K68" s="72">
        <v>2024</v>
      </c>
      <c r="L68" s="72">
        <v>2025</v>
      </c>
      <c r="M68" s="69" t="s">
        <v>44</v>
      </c>
      <c r="N68" s="62" t="s">
        <v>45</v>
      </c>
      <c r="O68" s="73" t="s">
        <v>9</v>
      </c>
      <c r="P68" s="73" t="s">
        <v>10</v>
      </c>
      <c r="Q68" s="73" t="s">
        <v>11</v>
      </c>
      <c r="R68" s="73" t="s">
        <v>12</v>
      </c>
      <c r="S68" s="73" t="s">
        <v>47</v>
      </c>
      <c r="T68" s="70" t="s">
        <v>28</v>
      </c>
      <c r="U68" s="185"/>
      <c r="V68" s="186"/>
      <c r="W68" s="186"/>
      <c r="X68" s="187"/>
    </row>
    <row r="69" spans="2:24" ht="16">
      <c r="B69" s="231" t="s">
        <v>207</v>
      </c>
      <c r="C69" s="277" t="s">
        <v>49</v>
      </c>
      <c r="D69" s="65" t="s">
        <v>161</v>
      </c>
      <c r="E69" s="65" t="s">
        <v>312</v>
      </c>
      <c r="F69" s="66"/>
      <c r="G69" s="65" t="s">
        <v>65</v>
      </c>
      <c r="H69" s="51"/>
      <c r="I69" s="51">
        <v>0.25</v>
      </c>
      <c r="J69" s="51">
        <v>0.75</v>
      </c>
      <c r="K69" s="51"/>
      <c r="L69" s="51"/>
      <c r="M69" s="139">
        <f>SUM(H69:L69)</f>
        <v>1</v>
      </c>
      <c r="N69" s="63">
        <v>500000</v>
      </c>
      <c r="O69" s="48">
        <f>H69*$N69</f>
        <v>0</v>
      </c>
      <c r="P69" s="48">
        <f>I69*$N69</f>
        <v>125000</v>
      </c>
      <c r="Q69" s="48">
        <f>J69*$N69</f>
        <v>375000</v>
      </c>
      <c r="R69" s="48">
        <f>K69*$N69</f>
        <v>0</v>
      </c>
      <c r="S69" s="48">
        <f>L69*$N69</f>
        <v>0</v>
      </c>
      <c r="T69" s="59">
        <f>SUM(O69:S69)</f>
        <v>500000</v>
      </c>
      <c r="U69" s="180">
        <f>IF($E69=U$17,$T69,0)</f>
        <v>0</v>
      </c>
      <c r="V69" s="173">
        <f t="shared" ref="V69:X73" si="38">IF($E69=V$17,$T69,0)</f>
        <v>500000</v>
      </c>
      <c r="W69" s="173">
        <f t="shared" si="38"/>
        <v>0</v>
      </c>
      <c r="X69" s="181">
        <f t="shared" si="38"/>
        <v>0</v>
      </c>
    </row>
    <row r="70" spans="2:24" ht="32">
      <c r="B70" s="231" t="s">
        <v>208</v>
      </c>
      <c r="C70" s="273"/>
      <c r="D70" s="76" t="s">
        <v>66</v>
      </c>
      <c r="E70" s="65" t="s">
        <v>312</v>
      </c>
      <c r="F70" s="77"/>
      <c r="G70" s="76" t="s">
        <v>65</v>
      </c>
      <c r="H70" s="78">
        <v>0.5</v>
      </c>
      <c r="I70" s="78">
        <v>0.5</v>
      </c>
      <c r="J70" s="78"/>
      <c r="K70" s="78"/>
      <c r="L70" s="78"/>
      <c r="M70" s="139">
        <f t="shared" ref="M70:M72" si="39">SUM(H70:L70)</f>
        <v>1</v>
      </c>
      <c r="N70" s="80">
        <v>360000</v>
      </c>
      <c r="O70" s="81">
        <f t="shared" ref="O70:S73" si="40">H70*$N70</f>
        <v>180000</v>
      </c>
      <c r="P70" s="81">
        <f t="shared" si="40"/>
        <v>180000</v>
      </c>
      <c r="Q70" s="81">
        <f t="shared" si="40"/>
        <v>0</v>
      </c>
      <c r="R70" s="81">
        <f t="shared" si="40"/>
        <v>0</v>
      </c>
      <c r="S70" s="81">
        <f t="shared" si="40"/>
        <v>0</v>
      </c>
      <c r="T70" s="82">
        <f t="shared" ref="T70:T73" si="41">SUM(O70:S70)</f>
        <v>360000</v>
      </c>
      <c r="U70" s="180">
        <f t="shared" ref="U70:U73" si="42">IF($E70=U$17,$T70,0)</f>
        <v>0</v>
      </c>
      <c r="V70" s="173">
        <f t="shared" si="38"/>
        <v>360000</v>
      </c>
      <c r="W70" s="173">
        <f t="shared" si="38"/>
        <v>0</v>
      </c>
      <c r="X70" s="181">
        <f t="shared" si="38"/>
        <v>0</v>
      </c>
    </row>
    <row r="71" spans="2:24" ht="16">
      <c r="B71" s="231" t="s">
        <v>210</v>
      </c>
      <c r="C71" s="273"/>
      <c r="D71" s="76" t="s">
        <v>292</v>
      </c>
      <c r="E71" s="65" t="s">
        <v>313</v>
      </c>
      <c r="F71" s="77"/>
      <c r="G71" s="76" t="s">
        <v>39</v>
      </c>
      <c r="H71" s="78"/>
      <c r="I71" s="78"/>
      <c r="J71" s="51"/>
      <c r="K71" s="51"/>
      <c r="L71" s="78"/>
      <c r="M71" s="139">
        <f t="shared" si="39"/>
        <v>0</v>
      </c>
      <c r="N71" s="80">
        <v>150000</v>
      </c>
      <c r="O71" s="81">
        <f t="shared" si="40"/>
        <v>0</v>
      </c>
      <c r="P71" s="81">
        <f t="shared" si="40"/>
        <v>0</v>
      </c>
      <c r="Q71" s="81">
        <f t="shared" si="40"/>
        <v>0</v>
      </c>
      <c r="R71" s="81">
        <f t="shared" si="40"/>
        <v>0</v>
      </c>
      <c r="S71" s="81">
        <f t="shared" si="40"/>
        <v>0</v>
      </c>
      <c r="T71" s="82">
        <f t="shared" si="41"/>
        <v>0</v>
      </c>
      <c r="U71" s="180">
        <f t="shared" si="42"/>
        <v>0</v>
      </c>
      <c r="V71" s="173">
        <f t="shared" si="38"/>
        <v>0</v>
      </c>
      <c r="W71" s="173">
        <f t="shared" si="38"/>
        <v>0</v>
      </c>
      <c r="X71" s="181">
        <f t="shared" si="38"/>
        <v>0</v>
      </c>
    </row>
    <row r="72" spans="2:24" ht="16">
      <c r="B72" s="231" t="s">
        <v>210</v>
      </c>
      <c r="C72" s="273"/>
      <c r="D72" s="76" t="s">
        <v>294</v>
      </c>
      <c r="E72" s="65" t="s">
        <v>313</v>
      </c>
      <c r="F72" s="77"/>
      <c r="G72" s="76" t="s">
        <v>39</v>
      </c>
      <c r="H72" s="78">
        <v>1</v>
      </c>
      <c r="I72" s="78">
        <v>1</v>
      </c>
      <c r="J72" s="51">
        <v>1</v>
      </c>
      <c r="K72" s="78"/>
      <c r="L72" s="137"/>
      <c r="M72" s="139">
        <f t="shared" si="39"/>
        <v>3</v>
      </c>
      <c r="N72" s="80">
        <v>150000</v>
      </c>
      <c r="O72" s="81">
        <f t="shared" si="40"/>
        <v>150000</v>
      </c>
      <c r="P72" s="81">
        <f t="shared" si="40"/>
        <v>150000</v>
      </c>
      <c r="Q72" s="81">
        <f t="shared" si="40"/>
        <v>150000</v>
      </c>
      <c r="R72" s="81">
        <f t="shared" si="40"/>
        <v>0</v>
      </c>
      <c r="S72" s="81">
        <f t="shared" si="40"/>
        <v>0</v>
      </c>
      <c r="T72" s="82">
        <f t="shared" si="41"/>
        <v>450000</v>
      </c>
      <c r="U72" s="180">
        <f t="shared" si="42"/>
        <v>0</v>
      </c>
      <c r="V72" s="173">
        <f t="shared" si="38"/>
        <v>0</v>
      </c>
      <c r="W72" s="173">
        <f t="shared" si="38"/>
        <v>450000</v>
      </c>
      <c r="X72" s="181">
        <f t="shared" si="38"/>
        <v>0</v>
      </c>
    </row>
    <row r="73" spans="2:24" ht="17" thickBot="1">
      <c r="B73" s="231" t="s">
        <v>210</v>
      </c>
      <c r="C73" s="274"/>
      <c r="D73" s="67" t="s">
        <v>295</v>
      </c>
      <c r="E73" s="65" t="s">
        <v>313</v>
      </c>
      <c r="F73" s="68"/>
      <c r="G73" s="67" t="s">
        <v>39</v>
      </c>
      <c r="H73" s="52"/>
      <c r="I73" s="52"/>
      <c r="J73" s="52"/>
      <c r="K73" s="138"/>
      <c r="L73" s="52"/>
      <c r="M73" s="140">
        <f>SUM(H73:L73)</f>
        <v>0</v>
      </c>
      <c r="N73" s="64">
        <v>150000</v>
      </c>
      <c r="O73" s="49">
        <f t="shared" si="40"/>
        <v>0</v>
      </c>
      <c r="P73" s="49">
        <f t="shared" si="40"/>
        <v>0</v>
      </c>
      <c r="Q73" s="49">
        <f t="shared" si="40"/>
        <v>0</v>
      </c>
      <c r="R73" s="49">
        <f t="shared" si="40"/>
        <v>0</v>
      </c>
      <c r="S73" s="49">
        <f t="shared" si="40"/>
        <v>0</v>
      </c>
      <c r="T73" s="60">
        <f t="shared" si="41"/>
        <v>0</v>
      </c>
      <c r="U73" s="182">
        <f t="shared" si="42"/>
        <v>0</v>
      </c>
      <c r="V73" s="183">
        <f t="shared" si="38"/>
        <v>0</v>
      </c>
      <c r="W73" s="183">
        <f t="shared" si="38"/>
        <v>0</v>
      </c>
      <c r="X73" s="184">
        <f t="shared" si="38"/>
        <v>0</v>
      </c>
    </row>
    <row r="74" spans="2:24" ht="16" thickBot="1">
      <c r="C74" s="16"/>
      <c r="D74" s="9"/>
      <c r="E74" s="9"/>
      <c r="F74" s="9"/>
      <c r="G74" s="9"/>
      <c r="H74" s="9"/>
      <c r="I74" s="9"/>
      <c r="J74" s="5"/>
      <c r="K74" s="5"/>
      <c r="L74" s="5"/>
      <c r="M74" s="5"/>
      <c r="N74" s="4"/>
      <c r="O74" s="39"/>
      <c r="P74" s="39"/>
      <c r="Q74" s="40"/>
      <c r="R74" s="40"/>
      <c r="S74" s="40"/>
      <c r="T74" s="41"/>
      <c r="U74" s="41"/>
      <c r="V74" s="41"/>
      <c r="W74" s="41"/>
      <c r="X74" s="41"/>
    </row>
    <row r="75" spans="2:24" s="45" customFormat="1" ht="16" thickBot="1">
      <c r="C75" s="47"/>
      <c r="D75" s="46"/>
      <c r="E75" s="46"/>
      <c r="F75" s="46"/>
      <c r="G75" s="46"/>
      <c r="H75" s="46"/>
      <c r="I75" s="46"/>
      <c r="J75" s="46"/>
      <c r="K75" s="46"/>
      <c r="L75" s="87"/>
      <c r="M75" s="88"/>
      <c r="N75" s="89" t="s">
        <v>109</v>
      </c>
      <c r="O75" s="83">
        <f>SUM(O69:O73)</f>
        <v>330000</v>
      </c>
      <c r="P75" s="84">
        <f>SUM(P69:P73)</f>
        <v>455000</v>
      </c>
      <c r="Q75" s="84">
        <f>SUM(Q69:Q73)</f>
        <v>525000</v>
      </c>
      <c r="R75" s="84">
        <f>SUM(R69:R73)</f>
        <v>0</v>
      </c>
      <c r="S75" s="85">
        <f>SUM(S69:S73)</f>
        <v>0</v>
      </c>
      <c r="T75" s="61">
        <f>SUM(O75:S75)</f>
        <v>1310000</v>
      </c>
      <c r="U75" s="172">
        <f>SUM(U69:U73)</f>
        <v>0</v>
      </c>
      <c r="V75" s="174">
        <f t="shared" ref="V75:X75" si="43">SUM(V69:V73)</f>
        <v>860000</v>
      </c>
      <c r="W75" s="174">
        <f>SUM(W69:W73)</f>
        <v>450000</v>
      </c>
      <c r="X75" s="175">
        <f t="shared" si="43"/>
        <v>0</v>
      </c>
    </row>
    <row r="76" spans="2:24" s="2" customFormat="1">
      <c r="C76" s="16"/>
      <c r="D76" s="9"/>
      <c r="E76" s="9"/>
      <c r="F76" s="9"/>
      <c r="G76" s="9"/>
      <c r="H76" s="9"/>
      <c r="I76" s="9"/>
      <c r="J76" s="5"/>
      <c r="K76" s="5"/>
      <c r="L76" s="5"/>
      <c r="M76" s="5"/>
      <c r="N76" s="4"/>
      <c r="O76" s="41"/>
      <c r="P76" s="41"/>
      <c r="Q76" s="41"/>
      <c r="R76" s="41"/>
      <c r="S76" s="41"/>
      <c r="T76" s="42"/>
      <c r="U76" s="42"/>
      <c r="V76" s="42"/>
      <c r="W76" s="42"/>
      <c r="X76" s="42"/>
    </row>
    <row r="77" spans="2:24">
      <c r="C77" s="16"/>
      <c r="D77" s="9"/>
      <c r="E77" s="9"/>
      <c r="F77" s="9"/>
      <c r="G77" s="9"/>
      <c r="H77" s="9"/>
      <c r="I77" s="9"/>
      <c r="J77" s="5"/>
      <c r="K77" s="5"/>
      <c r="L77" s="5"/>
      <c r="M77" s="5"/>
      <c r="N77" s="4"/>
      <c r="O77" s="41"/>
      <c r="P77" s="41"/>
      <c r="Q77" s="41"/>
      <c r="R77" s="41"/>
      <c r="S77" s="41"/>
      <c r="T77" s="42"/>
      <c r="U77" s="42"/>
      <c r="V77" s="42"/>
      <c r="W77" s="42"/>
      <c r="X77" s="42"/>
    </row>
    <row r="78" spans="2:24" ht="16" thickBot="1">
      <c r="C78" s="16"/>
      <c r="D78" s="9"/>
      <c r="E78" s="9"/>
      <c r="F78" s="9"/>
      <c r="G78" s="9"/>
      <c r="H78" s="9"/>
      <c r="I78" s="9"/>
      <c r="J78" s="5"/>
      <c r="K78" s="5"/>
      <c r="L78" s="5"/>
      <c r="M78" s="5"/>
      <c r="N78" s="4"/>
      <c r="O78" s="41"/>
      <c r="P78" s="41"/>
      <c r="Q78" s="41"/>
      <c r="R78" s="41"/>
      <c r="S78" s="41"/>
      <c r="T78" s="42"/>
      <c r="U78" s="42"/>
      <c r="V78" s="42"/>
      <c r="W78" s="42"/>
      <c r="X78" s="42"/>
    </row>
    <row r="79" spans="2:24" ht="33" thickBot="1">
      <c r="C79" s="91"/>
      <c r="D79" s="92"/>
      <c r="E79" s="92"/>
      <c r="F79" s="92"/>
      <c r="G79" s="92"/>
      <c r="H79" s="92"/>
      <c r="I79" s="92"/>
      <c r="J79" s="93"/>
      <c r="K79" s="93"/>
      <c r="L79" s="93"/>
      <c r="M79" s="93"/>
      <c r="N79" s="94"/>
      <c r="O79" s="100" t="s">
        <v>73</v>
      </c>
      <c r="P79" s="100" t="s">
        <v>47</v>
      </c>
      <c r="Q79" s="100" t="s">
        <v>74</v>
      </c>
      <c r="R79" s="100" t="s">
        <v>75</v>
      </c>
      <c r="S79" s="101" t="s">
        <v>76</v>
      </c>
      <c r="T79" s="105" t="s">
        <v>63</v>
      </c>
      <c r="U79" s="169"/>
      <c r="V79" s="169"/>
      <c r="W79" s="169"/>
      <c r="X79" s="169"/>
    </row>
    <row r="80" spans="2:24" s="45" customFormat="1" ht="16" thickBot="1">
      <c r="C80" s="95"/>
      <c r="D80" s="96"/>
      <c r="E80" s="96"/>
      <c r="F80" s="96"/>
      <c r="G80" s="96"/>
      <c r="H80" s="96"/>
      <c r="I80" s="96"/>
      <c r="J80" s="96"/>
      <c r="K80" s="96"/>
      <c r="L80" s="90"/>
      <c r="M80" s="97"/>
      <c r="N80" s="98" t="s">
        <v>110</v>
      </c>
      <c r="O80" s="102">
        <f>O75+O65+O14+O53+O36</f>
        <v>2714500</v>
      </c>
      <c r="P80" s="103">
        <f>P75+P65+P14+P53+P36</f>
        <v>8447500</v>
      </c>
      <c r="Q80" s="103">
        <f>Q75+Q65+Q14+Q53+Q36</f>
        <v>1560500</v>
      </c>
      <c r="R80" s="103">
        <f>R75+R65+R14+R53+R36</f>
        <v>631000</v>
      </c>
      <c r="S80" s="104">
        <f>S75+S65+S14+S53+S36</f>
        <v>331000</v>
      </c>
      <c r="T80" s="99">
        <f>SUM(O80:S80)</f>
        <v>13684500</v>
      </c>
      <c r="U80" s="102">
        <f>SUM(U75,U65,U14,U53,U36)</f>
        <v>0</v>
      </c>
      <c r="V80" s="103">
        <f>SUM(V75,V65,V14,V53,V36)</f>
        <v>2400000</v>
      </c>
      <c r="W80" s="103">
        <f>SUM(W75,W65,W14,W53,W36)</f>
        <v>10284500</v>
      </c>
      <c r="X80" s="103">
        <f>SUM(X75,X65,X14,X53,X36)</f>
        <v>1000000</v>
      </c>
    </row>
    <row r="81" spans="2:24">
      <c r="C81" s="2"/>
      <c r="D81" s="2"/>
      <c r="E81" s="2"/>
      <c r="F81" s="2"/>
      <c r="G81" s="2"/>
      <c r="H81" s="2"/>
      <c r="I81" s="2"/>
      <c r="J81" s="5"/>
      <c r="K81" s="5"/>
      <c r="L81" s="5"/>
      <c r="M81" s="5"/>
      <c r="N81" s="4"/>
      <c r="O81" s="39"/>
      <c r="P81" s="39"/>
      <c r="Q81" s="39"/>
      <c r="R81" s="39"/>
      <c r="S81" s="39"/>
      <c r="T81" s="39"/>
      <c r="U81" s="39"/>
      <c r="V81" s="39"/>
      <c r="W81" s="39"/>
      <c r="X81" s="39"/>
    </row>
    <row r="82" spans="2:24" ht="16" thickBot="1">
      <c r="C82" s="2"/>
      <c r="D82" s="2"/>
      <c r="E82" s="2"/>
      <c r="F82" s="2"/>
      <c r="G82" s="2"/>
      <c r="H82" s="2"/>
      <c r="I82" s="2"/>
      <c r="J82" s="5"/>
      <c r="K82" s="5"/>
      <c r="L82" s="5"/>
      <c r="M82" s="5"/>
      <c r="N82" s="4"/>
      <c r="O82" s="39"/>
      <c r="P82" s="39"/>
      <c r="Q82" s="39"/>
      <c r="R82" s="39"/>
      <c r="S82" s="39"/>
      <c r="T82" s="39"/>
      <c r="U82" s="39"/>
      <c r="V82" s="39"/>
      <c r="W82" s="39"/>
      <c r="X82" s="39"/>
    </row>
    <row r="83" spans="2:24" s="71" customFormat="1" ht="32">
      <c r="C83" s="75" t="s">
        <v>100</v>
      </c>
      <c r="D83" s="74" t="s">
        <v>7</v>
      </c>
      <c r="E83" s="74"/>
      <c r="F83" s="74"/>
      <c r="G83" s="74" t="s">
        <v>33</v>
      </c>
      <c r="H83" s="72">
        <v>2021</v>
      </c>
      <c r="I83" s="72">
        <v>2022</v>
      </c>
      <c r="J83" s="72">
        <v>2023</v>
      </c>
      <c r="K83" s="72">
        <v>2024</v>
      </c>
      <c r="L83" s="72">
        <v>2025</v>
      </c>
      <c r="M83" s="69" t="s">
        <v>44</v>
      </c>
      <c r="N83" s="62" t="s">
        <v>45</v>
      </c>
      <c r="O83" s="73" t="s">
        <v>73</v>
      </c>
      <c r="P83" s="73" t="s">
        <v>47</v>
      </c>
      <c r="Q83" s="73" t="s">
        <v>74</v>
      </c>
      <c r="R83" s="73" t="s">
        <v>75</v>
      </c>
      <c r="S83" s="73" t="s">
        <v>76</v>
      </c>
      <c r="T83" s="70" t="s">
        <v>91</v>
      </c>
      <c r="U83" s="185"/>
      <c r="V83" s="186"/>
      <c r="W83" s="186"/>
      <c r="X83" s="187"/>
    </row>
    <row r="84" spans="2:24" ht="16">
      <c r="B84" s="231">
        <v>4.2</v>
      </c>
      <c r="C84" s="273" t="s">
        <v>56</v>
      </c>
      <c r="D84" s="65" t="s">
        <v>23</v>
      </c>
      <c r="E84" s="65" t="s">
        <v>126</v>
      </c>
      <c r="F84" s="66"/>
      <c r="G84" s="65" t="s">
        <v>39</v>
      </c>
      <c r="H84" s="149"/>
      <c r="I84" s="150"/>
      <c r="J84" s="150"/>
      <c r="K84" s="150"/>
      <c r="L84" s="150"/>
      <c r="M84" s="150"/>
      <c r="N84" s="141">
        <v>7.0000000000000007E-2</v>
      </c>
      <c r="O84" s="48">
        <v>0</v>
      </c>
      <c r="P84" s="48">
        <f>ROUND($N84*O36+O84,-3)</f>
        <v>48000</v>
      </c>
      <c r="Q84" s="48">
        <f t="shared" ref="Q84:S84" si="44">ROUND($N84*P36+P84,-3)</f>
        <v>362000</v>
      </c>
      <c r="R84" s="48">
        <f t="shared" si="44"/>
        <v>370000</v>
      </c>
      <c r="S84" s="48">
        <f t="shared" si="44"/>
        <v>375000</v>
      </c>
      <c r="T84" s="59">
        <f t="shared" ref="T84:T85" si="45">SUM(O84:S84)</f>
        <v>1155000</v>
      </c>
      <c r="U84" s="180">
        <f>IF($E84=U$17,$T84,0)</f>
        <v>0</v>
      </c>
      <c r="V84" s="173">
        <f t="shared" ref="V84:X85" si="46">IF($E84=V$17,$T84,0)</f>
        <v>0</v>
      </c>
      <c r="W84" s="173">
        <f t="shared" si="46"/>
        <v>0</v>
      </c>
      <c r="X84" s="181">
        <f t="shared" si="46"/>
        <v>1155000</v>
      </c>
    </row>
    <row r="85" spans="2:24" ht="17" thickBot="1">
      <c r="B85" s="231">
        <v>4.2</v>
      </c>
      <c r="C85" s="274"/>
      <c r="D85" s="67" t="s">
        <v>24</v>
      </c>
      <c r="E85" s="67" t="s">
        <v>126</v>
      </c>
      <c r="F85" s="68"/>
      <c r="G85" s="67" t="s">
        <v>39</v>
      </c>
      <c r="H85" s="152"/>
      <c r="I85" s="153"/>
      <c r="J85" s="153"/>
      <c r="K85" s="153"/>
      <c r="L85" s="153"/>
      <c r="M85" s="154"/>
      <c r="N85" s="142">
        <v>7.0000000000000007E-2</v>
      </c>
      <c r="O85" s="49">
        <v>0</v>
      </c>
      <c r="P85" s="49">
        <f>ROUND($N85*O53+O85,-3)</f>
        <v>56000</v>
      </c>
      <c r="Q85" s="49">
        <f t="shared" ref="Q85:S85" si="47">ROUND($N85*P53+P85,-3)</f>
        <v>203000</v>
      </c>
      <c r="R85" s="49">
        <f t="shared" si="47"/>
        <v>224000</v>
      </c>
      <c r="S85" s="49">
        <f t="shared" si="47"/>
        <v>224000</v>
      </c>
      <c r="T85" s="60">
        <f t="shared" si="45"/>
        <v>707000</v>
      </c>
      <c r="U85" s="182">
        <f>IF($E85=U$17,$T85,0)</f>
        <v>0</v>
      </c>
      <c r="V85" s="183">
        <f t="shared" si="46"/>
        <v>0</v>
      </c>
      <c r="W85" s="183">
        <f t="shared" si="46"/>
        <v>0</v>
      </c>
      <c r="X85" s="184">
        <f t="shared" si="46"/>
        <v>707000</v>
      </c>
    </row>
    <row r="86" spans="2:24" ht="16" thickBot="1">
      <c r="C86" s="16"/>
      <c r="D86" s="9"/>
      <c r="E86" s="9"/>
      <c r="F86" s="9"/>
      <c r="G86" s="9"/>
      <c r="H86" s="9"/>
      <c r="I86" s="9"/>
      <c r="J86" s="5"/>
      <c r="K86" s="5"/>
      <c r="L86" s="5"/>
      <c r="M86" s="5"/>
      <c r="N86" s="4"/>
      <c r="O86" s="39"/>
      <c r="P86" s="39"/>
      <c r="Q86" s="40"/>
      <c r="R86" s="40"/>
      <c r="S86" s="40"/>
      <c r="T86" s="41"/>
      <c r="U86" s="41"/>
      <c r="V86" s="41"/>
      <c r="W86" s="41"/>
      <c r="X86" s="41"/>
    </row>
    <row r="87" spans="2:24" s="45" customFormat="1" ht="16" thickBot="1">
      <c r="C87" s="47"/>
      <c r="D87" s="46"/>
      <c r="E87" s="46"/>
      <c r="F87" s="46"/>
      <c r="G87" s="46"/>
      <c r="H87" s="46"/>
      <c r="I87" s="46"/>
      <c r="J87" s="46"/>
      <c r="K87" s="46"/>
      <c r="L87" s="87"/>
      <c r="M87" s="88"/>
      <c r="N87" s="89" t="s">
        <v>111</v>
      </c>
      <c r="O87" s="83">
        <f>SUM(O84:O85)</f>
        <v>0</v>
      </c>
      <c r="P87" s="84">
        <f>SUM(P84:P85)</f>
        <v>104000</v>
      </c>
      <c r="Q87" s="84">
        <f>SUM(Q84:Q85)</f>
        <v>565000</v>
      </c>
      <c r="R87" s="84">
        <f>SUM(R84:R85)</f>
        <v>594000</v>
      </c>
      <c r="S87" s="85">
        <f>SUM(S84:S85)</f>
        <v>599000</v>
      </c>
      <c r="T87" s="61">
        <f>SUM(O87:S87)</f>
        <v>1862000</v>
      </c>
      <c r="U87" s="172">
        <f>SUM(U84:U85)</f>
        <v>0</v>
      </c>
      <c r="V87" s="174">
        <f t="shared" ref="V87:X87" si="48">SUM(V84:V85)</f>
        <v>0</v>
      </c>
      <c r="W87" s="174">
        <f t="shared" si="48"/>
        <v>0</v>
      </c>
      <c r="X87" s="175">
        <f t="shared" si="48"/>
        <v>1862000</v>
      </c>
    </row>
    <row r="88" spans="2:24">
      <c r="C88" s="2"/>
      <c r="D88" s="2"/>
      <c r="E88" s="2"/>
      <c r="F88" s="2"/>
      <c r="G88" s="2"/>
      <c r="H88" s="2"/>
      <c r="I88" s="2"/>
      <c r="J88" s="5"/>
      <c r="K88" s="5"/>
      <c r="L88" s="5"/>
      <c r="M88" s="5"/>
      <c r="N88" s="4"/>
      <c r="O88" s="39"/>
      <c r="P88" s="39"/>
      <c r="Q88" s="39"/>
      <c r="R88" s="39"/>
      <c r="S88" s="39"/>
      <c r="T88" s="39"/>
      <c r="U88" s="39"/>
      <c r="V88" s="39"/>
      <c r="W88" s="39"/>
      <c r="X88" s="39"/>
    </row>
    <row r="89" spans="2:24" ht="16" thickBot="1">
      <c r="C89" s="2"/>
      <c r="D89" s="2"/>
      <c r="E89" s="2"/>
      <c r="F89" s="2"/>
      <c r="G89" s="2"/>
      <c r="H89" s="2"/>
      <c r="I89" s="2"/>
      <c r="J89" s="5"/>
      <c r="K89" s="5"/>
      <c r="L89" s="5"/>
      <c r="M89" s="5"/>
      <c r="N89" s="4"/>
      <c r="O89" s="39"/>
      <c r="P89" s="39"/>
      <c r="Q89" s="39"/>
      <c r="R89" s="39"/>
      <c r="S89" s="39"/>
      <c r="T89" s="39"/>
      <c r="U89" s="39"/>
      <c r="V89" s="39"/>
      <c r="W89" s="39"/>
      <c r="X89" s="39"/>
    </row>
    <row r="90" spans="2:24" ht="34" thickTop="1" thickBot="1">
      <c r="C90" s="91"/>
      <c r="D90" s="92"/>
      <c r="E90" s="92"/>
      <c r="F90" s="92"/>
      <c r="G90" s="92"/>
      <c r="H90" s="92"/>
      <c r="I90" s="92"/>
      <c r="J90" s="93"/>
      <c r="K90" s="93"/>
      <c r="L90" s="93"/>
      <c r="M90" s="93"/>
      <c r="N90" s="94"/>
      <c r="O90" s="43" t="s">
        <v>73</v>
      </c>
      <c r="P90" s="43" t="s">
        <v>47</v>
      </c>
      <c r="Q90" s="43" t="s">
        <v>74</v>
      </c>
      <c r="R90" s="43" t="s">
        <v>75</v>
      </c>
      <c r="S90" s="43" t="s">
        <v>76</v>
      </c>
      <c r="T90" s="86" t="s">
        <v>92</v>
      </c>
      <c r="U90" s="185"/>
      <c r="V90" s="186"/>
      <c r="W90" s="186"/>
      <c r="X90" s="187"/>
    </row>
    <row r="91" spans="2:24" s="45" customFormat="1" ht="17" thickTop="1" thickBot="1">
      <c r="C91" s="95"/>
      <c r="D91" s="96"/>
      <c r="E91" s="96"/>
      <c r="F91" s="96"/>
      <c r="G91" s="96"/>
      <c r="H91" s="96"/>
      <c r="I91" s="96"/>
      <c r="J91" s="96"/>
      <c r="K91" s="96"/>
      <c r="L91" s="90"/>
      <c r="M91" s="97"/>
      <c r="N91" s="98" t="s">
        <v>112</v>
      </c>
      <c r="O91" s="102">
        <f t="shared" ref="O91:S91" si="49">O87+O80</f>
        <v>2714500</v>
      </c>
      <c r="P91" s="103">
        <f t="shared" si="49"/>
        <v>8551500</v>
      </c>
      <c r="Q91" s="103">
        <f t="shared" si="49"/>
        <v>2125500</v>
      </c>
      <c r="R91" s="103">
        <f t="shared" si="49"/>
        <v>1225000</v>
      </c>
      <c r="S91" s="104">
        <f t="shared" si="49"/>
        <v>930000</v>
      </c>
      <c r="T91" s="86">
        <f>T87+T80</f>
        <v>15546500</v>
      </c>
      <c r="U91" s="172">
        <f t="shared" ref="U91:X91" si="50">U87+U80</f>
        <v>0</v>
      </c>
      <c r="V91" s="174">
        <f t="shared" si="50"/>
        <v>2400000</v>
      </c>
      <c r="W91" s="174">
        <f t="shared" si="50"/>
        <v>10284500</v>
      </c>
      <c r="X91" s="175">
        <f t="shared" si="50"/>
        <v>2862000</v>
      </c>
    </row>
    <row r="92" spans="2:24" s="2" customFormat="1">
      <c r="C92" s="16"/>
      <c r="D92" s="9"/>
      <c r="E92" s="9"/>
      <c r="F92" s="9"/>
      <c r="G92" s="9"/>
      <c r="H92" s="9"/>
      <c r="I92" s="9"/>
      <c r="J92" s="5"/>
      <c r="K92" s="5"/>
      <c r="L92" s="5"/>
      <c r="M92" s="5"/>
      <c r="N92" s="4"/>
      <c r="O92" s="41"/>
      <c r="P92" s="41"/>
      <c r="Q92" s="41"/>
      <c r="R92" s="41"/>
      <c r="S92" s="41"/>
      <c r="T92" s="42"/>
      <c r="U92" s="42"/>
      <c r="V92" s="42"/>
      <c r="W92" s="42"/>
      <c r="X92" s="42"/>
    </row>
    <row r="93" spans="2:24" ht="16" thickBot="1">
      <c r="N93" s="11"/>
      <c r="O93" s="11"/>
      <c r="P93" s="11"/>
      <c r="Q93" s="11"/>
      <c r="R93" s="11"/>
      <c r="S93" s="11"/>
      <c r="T93" s="11"/>
      <c r="U93" s="11"/>
      <c r="V93" s="11"/>
      <c r="W93" s="11"/>
      <c r="X93" s="11"/>
    </row>
    <row r="94" spans="2:24" s="71" customFormat="1" ht="16">
      <c r="C94" s="75" t="s">
        <v>104</v>
      </c>
      <c r="D94" s="74" t="s">
        <v>7</v>
      </c>
      <c r="E94" s="74"/>
      <c r="F94" s="74"/>
      <c r="G94" s="74" t="s">
        <v>33</v>
      </c>
      <c r="H94" s="72">
        <v>2021</v>
      </c>
      <c r="I94" s="72">
        <v>2022</v>
      </c>
      <c r="J94" s="72">
        <v>2023</v>
      </c>
      <c r="K94" s="72">
        <v>2024</v>
      </c>
      <c r="L94" s="72">
        <v>2025</v>
      </c>
      <c r="M94" s="69"/>
      <c r="N94" s="62"/>
      <c r="O94" s="73">
        <v>2018</v>
      </c>
      <c r="P94" s="73">
        <v>2019</v>
      </c>
      <c r="Q94" s="73">
        <v>2020</v>
      </c>
      <c r="R94" s="73">
        <v>2021</v>
      </c>
      <c r="S94" s="73">
        <v>2022</v>
      </c>
      <c r="T94" s="70" t="s">
        <v>0</v>
      </c>
      <c r="U94" s="11"/>
      <c r="V94" s="11"/>
      <c r="W94" s="11"/>
      <c r="X94" s="11"/>
    </row>
    <row r="95" spans="2:24" ht="16">
      <c r="C95" s="273" t="s">
        <v>57</v>
      </c>
      <c r="D95" s="6" t="s">
        <v>58</v>
      </c>
      <c r="E95" s="6"/>
      <c r="F95" s="6"/>
      <c r="G95" s="6" t="s">
        <v>60</v>
      </c>
      <c r="H95" s="32"/>
      <c r="I95" s="33"/>
      <c r="J95" s="33"/>
      <c r="K95" s="33"/>
      <c r="L95" s="33"/>
      <c r="M95" s="29"/>
      <c r="N95" s="26"/>
      <c r="O95" s="26"/>
      <c r="P95" s="26"/>
      <c r="Q95" s="26"/>
      <c r="R95" s="26"/>
      <c r="S95" s="27"/>
      <c r="T95" s="34"/>
      <c r="U95" s="11"/>
      <c r="V95" s="11"/>
      <c r="W95" s="11"/>
      <c r="X95" s="11"/>
    </row>
    <row r="96" spans="2:24" ht="16">
      <c r="C96" s="273"/>
      <c r="D96" s="6" t="s">
        <v>59</v>
      </c>
      <c r="E96" s="6"/>
      <c r="F96" s="6"/>
      <c r="G96" s="6" t="s">
        <v>61</v>
      </c>
      <c r="H96" s="25"/>
      <c r="I96" s="25"/>
      <c r="J96" s="25"/>
      <c r="K96" s="25"/>
      <c r="L96" s="25"/>
      <c r="M96" s="30"/>
      <c r="N96" s="25"/>
      <c r="O96" s="10">
        <f>H95*H96</f>
        <v>0</v>
      </c>
      <c r="P96" s="10">
        <f t="shared" ref="P96:S96" si="51">I95*I96</f>
        <v>0</v>
      </c>
      <c r="Q96" s="10">
        <f t="shared" si="51"/>
        <v>0</v>
      </c>
      <c r="R96" s="10">
        <f t="shared" si="51"/>
        <v>0</v>
      </c>
      <c r="S96" s="10">
        <f t="shared" si="51"/>
        <v>0</v>
      </c>
      <c r="T96" s="21">
        <f t="shared" ref="T96:T97" si="52">SUM(O96:S96)</f>
        <v>0</v>
      </c>
      <c r="U96" s="11"/>
      <c r="V96" s="11"/>
      <c r="W96" s="11"/>
      <c r="X96" s="11"/>
    </row>
    <row r="97" spans="3:24" ht="17" thickBot="1">
      <c r="C97" s="274"/>
      <c r="D97" s="17" t="s">
        <v>70</v>
      </c>
      <c r="E97" s="17"/>
      <c r="F97" s="17"/>
      <c r="G97" s="17" t="s">
        <v>62</v>
      </c>
      <c r="H97" s="28"/>
      <c r="I97" s="28"/>
      <c r="J97" s="28"/>
      <c r="K97" s="28"/>
      <c r="L97" s="28"/>
      <c r="M97" s="31"/>
      <c r="N97" s="28"/>
      <c r="O97" s="18">
        <f>H95*H97</f>
        <v>0</v>
      </c>
      <c r="P97" s="18">
        <f t="shared" ref="P97:S97" si="53">I95*I97</f>
        <v>0</v>
      </c>
      <c r="Q97" s="18">
        <f t="shared" si="53"/>
        <v>0</v>
      </c>
      <c r="R97" s="18">
        <f t="shared" si="53"/>
        <v>0</v>
      </c>
      <c r="S97" s="23">
        <f t="shared" si="53"/>
        <v>0</v>
      </c>
      <c r="T97" s="22">
        <f t="shared" si="52"/>
        <v>0</v>
      </c>
      <c r="U97" s="11"/>
      <c r="V97" s="11"/>
      <c r="W97" s="11"/>
      <c r="X97" s="11"/>
    </row>
    <row r="98" spans="3:24" ht="16" thickBot="1">
      <c r="C98" s="8"/>
      <c r="D98" s="7"/>
      <c r="E98" s="7"/>
      <c r="F98" s="7"/>
      <c r="G98" s="7"/>
      <c r="H98" s="13"/>
      <c r="I98" s="13"/>
      <c r="J98" s="14"/>
      <c r="K98" s="14"/>
      <c r="L98" s="14"/>
      <c r="M98" s="11"/>
      <c r="N98" s="11"/>
      <c r="O98" s="11"/>
      <c r="P98" s="11"/>
      <c r="Q98" s="11"/>
      <c r="R98" s="11"/>
      <c r="S98" s="11"/>
      <c r="T98" s="24"/>
      <c r="U98" s="11"/>
      <c r="V98" s="11"/>
      <c r="W98" s="11"/>
      <c r="X98" s="11"/>
    </row>
    <row r="99" spans="3:24" ht="16" thickBot="1">
      <c r="L99" s="87"/>
      <c r="M99" s="88"/>
      <c r="N99" s="89" t="s">
        <v>113</v>
      </c>
      <c r="O99" s="35">
        <f>O97</f>
        <v>0</v>
      </c>
      <c r="P99" s="35">
        <f t="shared" ref="P99:S99" si="54">P97</f>
        <v>0</v>
      </c>
      <c r="Q99" s="35">
        <f t="shared" si="54"/>
        <v>0</v>
      </c>
      <c r="R99" s="35">
        <f t="shared" si="54"/>
        <v>0</v>
      </c>
      <c r="S99" s="35">
        <f t="shared" si="54"/>
        <v>0</v>
      </c>
      <c r="T99" s="15">
        <f>SUM(O99:S99)</f>
        <v>0</v>
      </c>
      <c r="U99" s="11"/>
      <c r="V99" s="11"/>
      <c r="W99" s="11"/>
      <c r="X99" s="11"/>
    </row>
    <row r="100" spans="3:24" ht="16" thickBot="1">
      <c r="U100" s="11"/>
      <c r="V100" s="11"/>
      <c r="W100" s="11"/>
      <c r="X100" s="11"/>
    </row>
    <row r="101" spans="3:24" ht="50" thickTop="1" thickBot="1">
      <c r="C101" s="106"/>
      <c r="D101" s="112" t="s">
        <v>114</v>
      </c>
      <c r="E101" s="107"/>
      <c r="F101" s="107"/>
      <c r="G101" s="107"/>
      <c r="H101" s="107"/>
      <c r="I101" s="107"/>
      <c r="J101" s="107"/>
      <c r="K101" s="107"/>
      <c r="L101" s="107"/>
      <c r="M101" s="107"/>
      <c r="N101" s="108"/>
      <c r="O101" s="19" t="s">
        <v>73</v>
      </c>
      <c r="P101" s="19" t="s">
        <v>47</v>
      </c>
      <c r="Q101" s="19" t="s">
        <v>74</v>
      </c>
      <c r="R101" s="19" t="s">
        <v>75</v>
      </c>
      <c r="S101" s="44" t="s">
        <v>76</v>
      </c>
      <c r="T101" s="20" t="s">
        <v>93</v>
      </c>
      <c r="U101" s="11"/>
      <c r="V101" s="11"/>
      <c r="W101" s="11"/>
      <c r="X101" s="11"/>
    </row>
    <row r="102" spans="3:24" s="45" customFormat="1" ht="16" thickBot="1">
      <c r="C102" s="109"/>
      <c r="D102" s="110"/>
      <c r="E102" s="110"/>
      <c r="F102" s="110"/>
      <c r="G102" s="110"/>
      <c r="H102" s="110"/>
      <c r="I102" s="110"/>
      <c r="J102" s="110"/>
      <c r="K102" s="110"/>
      <c r="L102" s="110"/>
      <c r="M102" s="110"/>
      <c r="N102" s="111"/>
      <c r="O102" s="83">
        <f>O87+O99</f>
        <v>0</v>
      </c>
      <c r="P102" s="84">
        <f>P87+P99</f>
        <v>104000</v>
      </c>
      <c r="Q102" s="84">
        <f>Q87+Q99</f>
        <v>565000</v>
      </c>
      <c r="R102" s="84">
        <f>R87+R99</f>
        <v>594000</v>
      </c>
      <c r="S102" s="85">
        <f>S87+S99</f>
        <v>599000</v>
      </c>
      <c r="T102" s="61">
        <f>S102</f>
        <v>599000</v>
      </c>
      <c r="U102" s="11"/>
      <c r="V102" s="11"/>
      <c r="W102" s="11"/>
      <c r="X102" s="11"/>
    </row>
    <row r="103" spans="3:24">
      <c r="Q103" s="271"/>
      <c r="R103" s="271"/>
      <c r="S103" s="121"/>
      <c r="U103" s="11"/>
      <c r="V103" s="11"/>
      <c r="W103" s="11"/>
      <c r="X103" s="11"/>
    </row>
    <row r="104" spans="3:24">
      <c r="Q104" s="272"/>
      <c r="R104" s="272"/>
      <c r="S104" s="121"/>
      <c r="U104" s="11"/>
      <c r="V104" s="11"/>
      <c r="W104" s="11"/>
      <c r="X104" s="11"/>
    </row>
  </sheetData>
  <mergeCells count="8">
    <mergeCell ref="Q103:R104"/>
    <mergeCell ref="C19:C34"/>
    <mergeCell ref="C40:C51"/>
    <mergeCell ref="C3:C12"/>
    <mergeCell ref="C57:C63"/>
    <mergeCell ref="C69:C73"/>
    <mergeCell ref="C84:C85"/>
    <mergeCell ref="C95:C97"/>
  </mergeCells>
  <phoneticPr fontId="8" type="noConversion"/>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779CE-ACC5-491E-9B2B-BA2479857D8A}">
  <dimension ref="B1:X103"/>
  <sheetViews>
    <sheetView zoomScale="80" zoomScaleNormal="80" workbookViewId="0">
      <selection activeCell="U17" sqref="U17:W17"/>
    </sheetView>
  </sheetViews>
  <sheetFormatPr baseColWidth="10" defaultColWidth="11.5" defaultRowHeight="15"/>
  <cols>
    <col min="1" max="1" width="4" style="1" customWidth="1"/>
    <col min="2" max="2" width="6.33203125" style="1" customWidth="1"/>
    <col min="3" max="3" width="17.6640625" style="1" customWidth="1"/>
    <col min="4" max="4" width="47.83203125" style="1" customWidth="1"/>
    <col min="5" max="5" width="10" style="1" customWidth="1"/>
    <col min="6" max="6" width="11" style="1" customWidth="1"/>
    <col min="7" max="7" width="21.6640625" style="1" customWidth="1"/>
    <col min="8" max="8" width="7.5" style="1" customWidth="1"/>
    <col min="9" max="12" width="7.33203125" style="1" customWidth="1"/>
    <col min="13" max="13" width="14.33203125" style="1" customWidth="1"/>
    <col min="14" max="14" width="13.5" style="1" customWidth="1"/>
    <col min="15" max="24" width="12.83203125" style="1" customWidth="1"/>
    <col min="25" max="16384" width="11.5" style="1"/>
  </cols>
  <sheetData>
    <row r="1" spans="2:24" ht="16" thickBot="1">
      <c r="C1" s="9"/>
      <c r="D1" s="9"/>
      <c r="E1" s="9"/>
      <c r="F1" s="9"/>
      <c r="G1" s="9"/>
      <c r="H1" s="9"/>
      <c r="I1" s="9"/>
      <c r="J1" s="9"/>
      <c r="K1" s="9"/>
      <c r="L1" s="9"/>
      <c r="M1" s="9"/>
      <c r="N1" s="9"/>
      <c r="O1" s="3"/>
      <c r="P1" s="3"/>
      <c r="Q1" s="3"/>
      <c r="R1" s="3"/>
      <c r="S1" s="3"/>
      <c r="T1" s="12"/>
      <c r="U1" s="12"/>
      <c r="V1" s="12"/>
      <c r="W1" s="12"/>
      <c r="X1" s="12"/>
    </row>
    <row r="2" spans="2:24" s="71" customFormat="1" ht="48">
      <c r="C2" s="75" t="s">
        <v>99</v>
      </c>
      <c r="D2" s="74" t="s">
        <v>7</v>
      </c>
      <c r="E2" s="74" t="str">
        <f>E18</f>
        <v>Fin.
AFD, EU, GCF, GVNT</v>
      </c>
      <c r="F2" s="74" t="str">
        <f>F18</f>
        <v>Durée de vie (an)</v>
      </c>
      <c r="G2" s="74" t="s">
        <v>33</v>
      </c>
      <c r="H2" s="72">
        <v>2021</v>
      </c>
      <c r="I2" s="72">
        <v>2022</v>
      </c>
      <c r="J2" s="72">
        <v>2023</v>
      </c>
      <c r="K2" s="72">
        <v>2024</v>
      </c>
      <c r="L2" s="72">
        <v>2025</v>
      </c>
      <c r="M2" s="69" t="s">
        <v>44</v>
      </c>
      <c r="N2" s="62" t="s">
        <v>45</v>
      </c>
      <c r="O2" s="73" t="s">
        <v>9</v>
      </c>
      <c r="P2" s="73" t="s">
        <v>10</v>
      </c>
      <c r="Q2" s="73" t="s">
        <v>11</v>
      </c>
      <c r="R2" s="73" t="s">
        <v>12</v>
      </c>
      <c r="S2" s="73" t="s">
        <v>47</v>
      </c>
      <c r="T2" s="70" t="s">
        <v>8</v>
      </c>
      <c r="U2" s="185"/>
      <c r="V2" s="186"/>
      <c r="W2" s="186"/>
      <c r="X2" s="187"/>
    </row>
    <row r="3" spans="2:24" ht="16">
      <c r="B3" s="1" t="s">
        <v>220</v>
      </c>
      <c r="C3" s="273"/>
      <c r="D3" s="65" t="s">
        <v>217</v>
      </c>
      <c r="E3" s="65" t="s">
        <v>313</v>
      </c>
      <c r="F3" s="66"/>
      <c r="G3" s="65" t="s">
        <v>39</v>
      </c>
      <c r="H3" s="51">
        <v>1</v>
      </c>
      <c r="I3" s="51"/>
      <c r="J3" s="51"/>
      <c r="K3" s="51"/>
      <c r="L3" s="51"/>
      <c r="M3" s="56">
        <f t="shared" ref="M3:M6" si="0">SUM(H3:K3)</f>
        <v>1</v>
      </c>
      <c r="N3" s="63">
        <v>150000</v>
      </c>
      <c r="O3" s="48">
        <f>H3*$N3</f>
        <v>150000</v>
      </c>
      <c r="P3" s="48">
        <f>I3*$N3</f>
        <v>0</v>
      </c>
      <c r="Q3" s="48">
        <f>J3*$N3</f>
        <v>0</v>
      </c>
      <c r="R3" s="48">
        <f>K3*$N3</f>
        <v>0</v>
      </c>
      <c r="S3" s="48">
        <f>L3*$N3</f>
        <v>0</v>
      </c>
      <c r="T3" s="59">
        <f t="shared" ref="T3:T12" si="1">SUM(O3:S3)</f>
        <v>150000</v>
      </c>
      <c r="U3" s="180">
        <f t="shared" ref="U3:X12" si="2">IF($E3=U$17,$T3,0)</f>
        <v>0</v>
      </c>
      <c r="V3" s="173">
        <f t="shared" si="2"/>
        <v>0</v>
      </c>
      <c r="W3" s="173">
        <f t="shared" si="2"/>
        <v>150000</v>
      </c>
      <c r="X3" s="181">
        <f t="shared" si="2"/>
        <v>0</v>
      </c>
    </row>
    <row r="4" spans="2:24" ht="16">
      <c r="B4" s="1" t="s">
        <v>214</v>
      </c>
      <c r="C4" s="273"/>
      <c r="D4" s="65" t="s">
        <v>21</v>
      </c>
      <c r="E4" s="65" t="s">
        <v>313</v>
      </c>
      <c r="F4" s="66"/>
      <c r="G4" s="65" t="s">
        <v>39</v>
      </c>
      <c r="H4" s="149"/>
      <c r="I4" s="150"/>
      <c r="J4" s="150"/>
      <c r="K4" s="150"/>
      <c r="L4" s="150"/>
      <c r="M4" s="150"/>
      <c r="N4" s="141">
        <v>0.05</v>
      </c>
      <c r="O4" s="48">
        <f>ROUND($N4*O52,-3)</f>
        <v>27000</v>
      </c>
      <c r="P4" s="48">
        <f t="shared" ref="P4:S4" si="3">ROUND($N4*P52,-3)</f>
        <v>130000</v>
      </c>
      <c r="Q4" s="48">
        <f t="shared" si="3"/>
        <v>20000</v>
      </c>
      <c r="R4" s="48">
        <f t="shared" si="3"/>
        <v>0</v>
      </c>
      <c r="S4" s="48">
        <f t="shared" si="3"/>
        <v>0</v>
      </c>
      <c r="T4" s="59">
        <f t="shared" si="1"/>
        <v>177000</v>
      </c>
      <c r="U4" s="180">
        <f t="shared" si="2"/>
        <v>0</v>
      </c>
      <c r="V4" s="173">
        <f t="shared" si="2"/>
        <v>0</v>
      </c>
      <c r="W4" s="173">
        <f t="shared" si="2"/>
        <v>177000</v>
      </c>
      <c r="X4" s="181">
        <f t="shared" si="2"/>
        <v>0</v>
      </c>
    </row>
    <row r="5" spans="2:24" ht="16">
      <c r="B5" s="1" t="s">
        <v>214</v>
      </c>
      <c r="C5" s="273"/>
      <c r="D5" s="65" t="s">
        <v>22</v>
      </c>
      <c r="E5" s="65" t="s">
        <v>313</v>
      </c>
      <c r="F5" s="66"/>
      <c r="G5" s="65" t="s">
        <v>39</v>
      </c>
      <c r="H5" s="149"/>
      <c r="I5" s="150"/>
      <c r="J5" s="150"/>
      <c r="K5" s="150"/>
      <c r="L5" s="150"/>
      <c r="M5" s="150"/>
      <c r="N5" s="141">
        <v>0.05</v>
      </c>
      <c r="O5" s="48">
        <f>ROUND($N5*O36,-3)</f>
        <v>28000</v>
      </c>
      <c r="P5" s="48">
        <f t="shared" ref="P5:S5" si="4">ROUND($N5*P36,-3)</f>
        <v>182000</v>
      </c>
      <c r="Q5" s="48">
        <f t="shared" si="4"/>
        <v>26000</v>
      </c>
      <c r="R5" s="48">
        <f t="shared" si="4"/>
        <v>0</v>
      </c>
      <c r="S5" s="48">
        <f t="shared" si="4"/>
        <v>0</v>
      </c>
      <c r="T5" s="59">
        <f t="shared" si="1"/>
        <v>236000</v>
      </c>
      <c r="U5" s="180">
        <f t="shared" si="2"/>
        <v>0</v>
      </c>
      <c r="V5" s="173">
        <f t="shared" si="2"/>
        <v>0</v>
      </c>
      <c r="W5" s="173">
        <f t="shared" si="2"/>
        <v>236000</v>
      </c>
      <c r="X5" s="181">
        <f t="shared" si="2"/>
        <v>0</v>
      </c>
    </row>
    <row r="6" spans="2:24" ht="32">
      <c r="B6" s="1" t="s">
        <v>221</v>
      </c>
      <c r="C6" s="273"/>
      <c r="D6" s="65" t="s">
        <v>216</v>
      </c>
      <c r="E6" s="65" t="s">
        <v>313</v>
      </c>
      <c r="F6" s="66"/>
      <c r="G6" s="65" t="s">
        <v>39</v>
      </c>
      <c r="H6" s="51">
        <v>1</v>
      </c>
      <c r="I6" s="51"/>
      <c r="J6" s="51"/>
      <c r="K6" s="51"/>
      <c r="L6" s="51"/>
      <c r="M6" s="56">
        <f t="shared" si="0"/>
        <v>1</v>
      </c>
      <c r="N6" s="63">
        <v>100000</v>
      </c>
      <c r="O6" s="48">
        <f t="shared" ref="O6:S12" si="5">H6*$N6</f>
        <v>100000</v>
      </c>
      <c r="P6" s="48">
        <f t="shared" si="5"/>
        <v>0</v>
      </c>
      <c r="Q6" s="48">
        <f t="shared" si="5"/>
        <v>0</v>
      </c>
      <c r="R6" s="48">
        <f t="shared" si="5"/>
        <v>0</v>
      </c>
      <c r="S6" s="48">
        <f t="shared" si="5"/>
        <v>0</v>
      </c>
      <c r="T6" s="59">
        <f t="shared" si="1"/>
        <v>100000</v>
      </c>
      <c r="U6" s="180">
        <f t="shared" si="2"/>
        <v>0</v>
      </c>
      <c r="V6" s="173">
        <f t="shared" si="2"/>
        <v>0</v>
      </c>
      <c r="W6" s="173">
        <f t="shared" si="2"/>
        <v>100000</v>
      </c>
      <c r="X6" s="181">
        <f t="shared" si="2"/>
        <v>0</v>
      </c>
    </row>
    <row r="7" spans="2:24" ht="16">
      <c r="B7" s="1" t="s">
        <v>222</v>
      </c>
      <c r="C7" s="273"/>
      <c r="D7" s="76" t="s">
        <v>218</v>
      </c>
      <c r="E7" s="65" t="s">
        <v>313</v>
      </c>
      <c r="F7" s="77"/>
      <c r="G7" s="65" t="s">
        <v>39</v>
      </c>
      <c r="H7" s="51"/>
      <c r="I7" s="51">
        <v>1</v>
      </c>
      <c r="J7" s="51"/>
      <c r="K7" s="51"/>
      <c r="L7" s="51"/>
      <c r="M7" s="56">
        <f>SUM(H7:L7)</f>
        <v>1</v>
      </c>
      <c r="N7" s="80">
        <v>50000</v>
      </c>
      <c r="O7" s="81">
        <f t="shared" si="5"/>
        <v>0</v>
      </c>
      <c r="P7" s="81">
        <f t="shared" si="5"/>
        <v>50000</v>
      </c>
      <c r="Q7" s="81">
        <f t="shared" si="5"/>
        <v>0</v>
      </c>
      <c r="R7" s="81">
        <f t="shared" si="5"/>
        <v>0</v>
      </c>
      <c r="S7" s="81">
        <f t="shared" si="5"/>
        <v>0</v>
      </c>
      <c r="T7" s="82">
        <f t="shared" si="1"/>
        <v>50000</v>
      </c>
      <c r="U7" s="180">
        <f t="shared" si="2"/>
        <v>0</v>
      </c>
      <c r="V7" s="173">
        <f t="shared" si="2"/>
        <v>0</v>
      </c>
      <c r="W7" s="173">
        <f t="shared" si="2"/>
        <v>50000</v>
      </c>
      <c r="X7" s="181">
        <f t="shared" si="2"/>
        <v>0</v>
      </c>
    </row>
    <row r="8" spans="2:24" ht="16">
      <c r="B8" s="1" t="s">
        <v>223</v>
      </c>
      <c r="C8" s="273"/>
      <c r="D8" s="65" t="s">
        <v>219</v>
      </c>
      <c r="E8" s="65" t="s">
        <v>313</v>
      </c>
      <c r="F8" s="66"/>
      <c r="G8" s="65" t="s">
        <v>39</v>
      </c>
      <c r="H8" s="51"/>
      <c r="I8" s="51"/>
      <c r="J8" s="51">
        <v>1</v>
      </c>
      <c r="K8" s="51"/>
      <c r="L8" s="51"/>
      <c r="M8" s="56">
        <f t="shared" ref="M8" si="6">SUM(H8:K8)</f>
        <v>1</v>
      </c>
      <c r="N8" s="63">
        <v>50000</v>
      </c>
      <c r="O8" s="48">
        <f t="shared" ref="O8:O9" si="7">H8*$N8</f>
        <v>0</v>
      </c>
      <c r="P8" s="48">
        <f t="shared" ref="P8:P9" si="8">I8*$N8</f>
        <v>0</v>
      </c>
      <c r="Q8" s="48">
        <f t="shared" ref="Q8:Q9" si="9">J8*$N8</f>
        <v>50000</v>
      </c>
      <c r="R8" s="48">
        <f t="shared" ref="R8:R9" si="10">K8*$N8</f>
        <v>0</v>
      </c>
      <c r="S8" s="48">
        <f t="shared" ref="S8:S9" si="11">L8*$N8</f>
        <v>0</v>
      </c>
      <c r="T8" s="59">
        <f t="shared" ref="T8:T9" si="12">SUM(O8:S8)</f>
        <v>50000</v>
      </c>
      <c r="U8" s="180">
        <f t="shared" si="2"/>
        <v>0</v>
      </c>
      <c r="V8" s="173">
        <f t="shared" si="2"/>
        <v>0</v>
      </c>
      <c r="W8" s="173">
        <f t="shared" si="2"/>
        <v>50000</v>
      </c>
      <c r="X8" s="181">
        <f t="shared" si="2"/>
        <v>0</v>
      </c>
    </row>
    <row r="9" spans="2:24" ht="16">
      <c r="B9" s="1" t="s">
        <v>224</v>
      </c>
      <c r="C9" s="273"/>
      <c r="D9" s="76" t="s">
        <v>225</v>
      </c>
      <c r="E9" s="65" t="s">
        <v>313</v>
      </c>
      <c r="F9" s="77"/>
      <c r="G9" s="65" t="s">
        <v>39</v>
      </c>
      <c r="H9" s="51"/>
      <c r="I9" s="51">
        <v>1</v>
      </c>
      <c r="J9" s="51"/>
      <c r="K9" s="51"/>
      <c r="L9" s="51"/>
      <c r="M9" s="56">
        <f>SUM(H9:L9)</f>
        <v>1</v>
      </c>
      <c r="N9" s="80">
        <v>100000</v>
      </c>
      <c r="O9" s="81">
        <f t="shared" si="7"/>
        <v>0</v>
      </c>
      <c r="P9" s="81">
        <f t="shared" si="8"/>
        <v>100000</v>
      </c>
      <c r="Q9" s="81">
        <f t="shared" si="9"/>
        <v>0</v>
      </c>
      <c r="R9" s="81">
        <f t="shared" si="10"/>
        <v>0</v>
      </c>
      <c r="S9" s="81">
        <f t="shared" si="11"/>
        <v>0</v>
      </c>
      <c r="T9" s="82">
        <f t="shared" si="12"/>
        <v>100000</v>
      </c>
      <c r="U9" s="180">
        <f t="shared" si="2"/>
        <v>0</v>
      </c>
      <c r="V9" s="173">
        <f t="shared" si="2"/>
        <v>0</v>
      </c>
      <c r="W9" s="173">
        <f t="shared" si="2"/>
        <v>100000</v>
      </c>
      <c r="X9" s="181">
        <f t="shared" si="2"/>
        <v>0</v>
      </c>
    </row>
    <row r="10" spans="2:24" ht="16">
      <c r="B10" s="1" t="s">
        <v>224</v>
      </c>
      <c r="C10" s="273"/>
      <c r="D10" s="76" t="s">
        <v>259</v>
      </c>
      <c r="E10" s="65" t="s">
        <v>313</v>
      </c>
      <c r="F10" s="77"/>
      <c r="G10" s="65" t="s">
        <v>39</v>
      </c>
      <c r="H10" s="51"/>
      <c r="I10" s="51">
        <v>1</v>
      </c>
      <c r="J10" s="51"/>
      <c r="K10" s="51"/>
      <c r="L10" s="51"/>
      <c r="M10" s="56">
        <f>SUM(H10:L10)</f>
        <v>1</v>
      </c>
      <c r="N10" s="80">
        <v>50000</v>
      </c>
      <c r="O10" s="81">
        <f t="shared" ref="O10" si="13">H10*$N10</f>
        <v>0</v>
      </c>
      <c r="P10" s="81">
        <f t="shared" ref="P10" si="14">I10*$N10</f>
        <v>50000</v>
      </c>
      <c r="Q10" s="81">
        <f t="shared" ref="Q10" si="15">J10*$N10</f>
        <v>0</v>
      </c>
      <c r="R10" s="81">
        <f t="shared" ref="R10" si="16">K10*$N10</f>
        <v>0</v>
      </c>
      <c r="S10" s="81">
        <f t="shared" ref="S10" si="17">L10*$N10</f>
        <v>0</v>
      </c>
      <c r="T10" s="82">
        <f t="shared" ref="T10" si="18">SUM(O10:S10)</f>
        <v>50000</v>
      </c>
      <c r="U10" s="180">
        <f t="shared" si="2"/>
        <v>0</v>
      </c>
      <c r="V10" s="173">
        <f t="shared" si="2"/>
        <v>0</v>
      </c>
      <c r="W10" s="173">
        <f t="shared" si="2"/>
        <v>50000</v>
      </c>
      <c r="X10" s="181">
        <f t="shared" si="2"/>
        <v>0</v>
      </c>
    </row>
    <row r="11" spans="2:24" ht="32">
      <c r="B11" s="1" t="s">
        <v>213</v>
      </c>
      <c r="C11" s="273"/>
      <c r="D11" s="253" t="s">
        <v>283</v>
      </c>
      <c r="E11" s="65" t="s">
        <v>313</v>
      </c>
      <c r="F11" s="77"/>
      <c r="G11" s="76" t="s">
        <v>1</v>
      </c>
      <c r="H11" s="51">
        <v>3</v>
      </c>
      <c r="I11" s="51">
        <v>3</v>
      </c>
      <c r="J11" s="51">
        <v>3</v>
      </c>
      <c r="K11" s="51">
        <v>3</v>
      </c>
      <c r="L11" s="51">
        <v>3</v>
      </c>
      <c r="M11" s="56">
        <f>SUM(H11:L11)</f>
        <v>15</v>
      </c>
      <c r="N11" s="80">
        <v>24000</v>
      </c>
      <c r="O11" s="81">
        <f t="shared" ref="O11" si="19">H11*$N11</f>
        <v>72000</v>
      </c>
      <c r="P11" s="81">
        <f t="shared" ref="P11" si="20">I11*$N11</f>
        <v>72000</v>
      </c>
      <c r="Q11" s="81">
        <f t="shared" ref="Q11" si="21">J11*$N11</f>
        <v>72000</v>
      </c>
      <c r="R11" s="81">
        <f t="shared" ref="R11" si="22">K11*$N11</f>
        <v>72000</v>
      </c>
      <c r="S11" s="81">
        <f t="shared" ref="S11" si="23">L11*$N11</f>
        <v>72000</v>
      </c>
      <c r="T11" s="82">
        <f t="shared" ref="T11" si="24">SUM(O11:S11)</f>
        <v>360000</v>
      </c>
      <c r="U11" s="180">
        <f t="shared" si="2"/>
        <v>0</v>
      </c>
      <c r="V11" s="173">
        <f t="shared" si="2"/>
        <v>0</v>
      </c>
      <c r="W11" s="173">
        <f t="shared" si="2"/>
        <v>360000</v>
      </c>
      <c r="X11" s="181">
        <f t="shared" si="2"/>
        <v>0</v>
      </c>
    </row>
    <row r="12" spans="2:24" ht="33" thickBot="1">
      <c r="B12" s="1" t="s">
        <v>212</v>
      </c>
      <c r="C12" s="274"/>
      <c r="D12" s="67" t="s">
        <v>68</v>
      </c>
      <c r="E12" s="65" t="s">
        <v>313</v>
      </c>
      <c r="F12" s="68"/>
      <c r="G12" s="67" t="s">
        <v>1</v>
      </c>
      <c r="H12" s="52">
        <v>3</v>
      </c>
      <c r="I12" s="52">
        <v>3</v>
      </c>
      <c r="J12" s="52">
        <v>3</v>
      </c>
      <c r="K12" s="52">
        <v>3</v>
      </c>
      <c r="L12" s="52">
        <v>3</v>
      </c>
      <c r="M12" s="57">
        <f>SUM(H12:L12)</f>
        <v>15</v>
      </c>
      <c r="N12" s="64">
        <v>60000</v>
      </c>
      <c r="O12" s="49">
        <f t="shared" si="5"/>
        <v>180000</v>
      </c>
      <c r="P12" s="49">
        <f t="shared" si="5"/>
        <v>180000</v>
      </c>
      <c r="Q12" s="49">
        <f t="shared" si="5"/>
        <v>180000</v>
      </c>
      <c r="R12" s="49">
        <f t="shared" si="5"/>
        <v>180000</v>
      </c>
      <c r="S12" s="49">
        <f t="shared" si="5"/>
        <v>180000</v>
      </c>
      <c r="T12" s="60">
        <f t="shared" si="1"/>
        <v>900000</v>
      </c>
      <c r="U12" s="182">
        <f t="shared" si="2"/>
        <v>0</v>
      </c>
      <c r="V12" s="183">
        <f t="shared" si="2"/>
        <v>0</v>
      </c>
      <c r="W12" s="183">
        <f t="shared" si="2"/>
        <v>900000</v>
      </c>
      <c r="X12" s="184">
        <f t="shared" si="2"/>
        <v>0</v>
      </c>
    </row>
    <row r="13" spans="2:24" ht="16" thickBot="1">
      <c r="C13" s="16"/>
      <c r="D13" s="9"/>
      <c r="E13" s="9"/>
      <c r="F13" s="9"/>
      <c r="G13" s="9"/>
      <c r="H13" s="9"/>
      <c r="I13" s="9"/>
      <c r="J13" s="5"/>
      <c r="K13" s="5"/>
      <c r="L13" s="5"/>
      <c r="M13" s="5"/>
      <c r="N13" s="4"/>
      <c r="O13" s="39"/>
      <c r="P13" s="39"/>
      <c r="Q13" s="40"/>
      <c r="R13" s="40"/>
      <c r="S13" s="40"/>
      <c r="T13" s="41"/>
      <c r="U13" s="41"/>
      <c r="V13" s="41"/>
      <c r="W13" s="41"/>
      <c r="X13" s="41"/>
    </row>
    <row r="14" spans="2:24" s="45" customFormat="1" ht="16" thickBot="1">
      <c r="C14" s="47"/>
      <c r="D14" s="46"/>
      <c r="E14" s="46"/>
      <c r="F14" s="46"/>
      <c r="G14" s="46"/>
      <c r="H14" s="46"/>
      <c r="I14" s="46"/>
      <c r="J14" s="46"/>
      <c r="K14" s="46"/>
      <c r="L14" s="87"/>
      <c r="M14" s="88"/>
      <c r="N14" s="89" t="s">
        <v>107</v>
      </c>
      <c r="O14" s="83">
        <f>SUM(O3:O12)</f>
        <v>557000</v>
      </c>
      <c r="P14" s="84">
        <f>SUM(P3:P12)</f>
        <v>764000</v>
      </c>
      <c r="Q14" s="84">
        <f>SUM(Q3:Q12)</f>
        <v>348000</v>
      </c>
      <c r="R14" s="84">
        <f>SUM(R3:R12)</f>
        <v>252000</v>
      </c>
      <c r="S14" s="85">
        <f>SUM(S3:S12)</f>
        <v>252000</v>
      </c>
      <c r="T14" s="61">
        <f>SUM(O14:S14)</f>
        <v>2173000</v>
      </c>
      <c r="U14" s="172">
        <f>SUM(U3:U12)</f>
        <v>0</v>
      </c>
      <c r="V14" s="174">
        <f>SUM(V3:V12)</f>
        <v>0</v>
      </c>
      <c r="W14" s="174">
        <f>SUM(W3:W12)</f>
        <v>2173000</v>
      </c>
      <c r="X14" s="175">
        <f>SUM(X3:X12)</f>
        <v>0</v>
      </c>
    </row>
    <row r="15" spans="2:24" s="2" customFormat="1">
      <c r="C15" s="16"/>
      <c r="D15" s="9"/>
      <c r="E15" s="9"/>
      <c r="F15" s="9"/>
      <c r="G15" s="9"/>
      <c r="H15" s="9"/>
      <c r="I15" s="9"/>
      <c r="J15" s="5"/>
      <c r="K15" s="5"/>
      <c r="L15" s="5"/>
      <c r="M15" s="5"/>
      <c r="N15" s="4"/>
      <c r="O15" s="41"/>
      <c r="P15" s="41"/>
      <c r="Q15" s="41"/>
      <c r="R15" s="41"/>
      <c r="S15" s="41"/>
      <c r="T15" s="42"/>
      <c r="U15" s="42"/>
      <c r="V15" s="42"/>
      <c r="W15" s="42"/>
      <c r="X15" s="42"/>
    </row>
    <row r="17" spans="2:24" ht="16" thickBot="1">
      <c r="H17" s="53" t="s">
        <v>96</v>
      </c>
      <c r="I17" s="50"/>
      <c r="J17" s="50"/>
      <c r="K17" s="50"/>
      <c r="L17" s="50"/>
      <c r="M17" s="54"/>
      <c r="N17" s="55"/>
      <c r="O17" s="58" t="s">
        <v>95</v>
      </c>
      <c r="P17" s="58" t="s">
        <v>95</v>
      </c>
      <c r="Q17" s="58" t="s">
        <v>95</v>
      </c>
      <c r="R17" s="58" t="s">
        <v>95</v>
      </c>
      <c r="S17" s="58" t="s">
        <v>95</v>
      </c>
      <c r="T17" s="58" t="s">
        <v>95</v>
      </c>
      <c r="U17" s="171" t="s">
        <v>94</v>
      </c>
      <c r="V17" s="171" t="s">
        <v>312</v>
      </c>
      <c r="W17" s="171" t="s">
        <v>313</v>
      </c>
      <c r="X17" s="171" t="s">
        <v>126</v>
      </c>
    </row>
    <row r="18" spans="2:24" s="71" customFormat="1" ht="48">
      <c r="C18" s="75" t="s">
        <v>100</v>
      </c>
      <c r="D18" s="74" t="s">
        <v>7</v>
      </c>
      <c r="E18" s="74" t="s">
        <v>97</v>
      </c>
      <c r="F18" s="74" t="s">
        <v>98</v>
      </c>
      <c r="G18" s="74" t="s">
        <v>33</v>
      </c>
      <c r="H18" s="72">
        <v>2021</v>
      </c>
      <c r="I18" s="72">
        <v>2022</v>
      </c>
      <c r="J18" s="72">
        <v>2023</v>
      </c>
      <c r="K18" s="72">
        <v>2024</v>
      </c>
      <c r="L18" s="72">
        <v>2025</v>
      </c>
      <c r="M18" s="69" t="s">
        <v>44</v>
      </c>
      <c r="N18" s="62" t="s">
        <v>45</v>
      </c>
      <c r="O18" s="73" t="s">
        <v>73</v>
      </c>
      <c r="P18" s="73" t="s">
        <v>47</v>
      </c>
      <c r="Q18" s="73" t="s">
        <v>74</v>
      </c>
      <c r="R18" s="73" t="s">
        <v>75</v>
      </c>
      <c r="S18" s="143" t="s">
        <v>76</v>
      </c>
      <c r="T18" s="70" t="s">
        <v>4</v>
      </c>
      <c r="U18" s="178"/>
      <c r="V18" s="170"/>
      <c r="W18" s="170"/>
      <c r="X18" s="179"/>
    </row>
    <row r="19" spans="2:24" s="45" customFormat="1" ht="16">
      <c r="B19" s="232" t="s">
        <v>205</v>
      </c>
      <c r="C19" s="275" t="s">
        <v>17</v>
      </c>
      <c r="D19" s="65" t="s">
        <v>82</v>
      </c>
      <c r="E19" s="65" t="s">
        <v>313</v>
      </c>
      <c r="F19" s="66"/>
      <c r="G19" s="65" t="s">
        <v>34</v>
      </c>
      <c r="H19" s="155">
        <v>4</v>
      </c>
      <c r="I19" s="155"/>
      <c r="J19" s="155"/>
      <c r="K19" s="155"/>
      <c r="L19" s="155"/>
      <c r="M19" s="56">
        <f>SUM(H19:K19)</f>
        <v>4</v>
      </c>
      <c r="N19" s="63">
        <v>60000</v>
      </c>
      <c r="O19" s="48">
        <f>H19*$N19</f>
        <v>240000</v>
      </c>
      <c r="P19" s="48">
        <f>I19*$N19</f>
        <v>0</v>
      </c>
      <c r="Q19" s="48">
        <f>J19*$N19</f>
        <v>0</v>
      </c>
      <c r="R19" s="48">
        <f>K19*$N19</f>
        <v>0</v>
      </c>
      <c r="S19" s="144">
        <f>L19*$N19</f>
        <v>0</v>
      </c>
      <c r="T19" s="59">
        <f>SUM(O19:S19)</f>
        <v>240000</v>
      </c>
      <c r="U19" s="180">
        <f t="shared" ref="U19:V34" si="25">IF($E19=U$17,$T19,0)</f>
        <v>0</v>
      </c>
      <c r="V19" s="173">
        <f t="shared" si="25"/>
        <v>0</v>
      </c>
      <c r="W19" s="173">
        <f t="shared" ref="W19:X19" si="26">IF($E19=W$17,$T19,0)</f>
        <v>240000</v>
      </c>
      <c r="X19" s="181">
        <f t="shared" si="26"/>
        <v>0</v>
      </c>
    </row>
    <row r="20" spans="2:24" s="45" customFormat="1" ht="16">
      <c r="B20" s="232" t="s">
        <v>205</v>
      </c>
      <c r="C20" s="275"/>
      <c r="D20" s="65" t="s">
        <v>88</v>
      </c>
      <c r="E20" s="65" t="s">
        <v>126</v>
      </c>
      <c r="F20" s="66"/>
      <c r="G20" s="65" t="s">
        <v>6</v>
      </c>
      <c r="H20" s="155"/>
      <c r="I20" s="155"/>
      <c r="J20" s="155"/>
      <c r="K20" s="155"/>
      <c r="L20" s="155"/>
      <c r="M20" s="56">
        <f>SUM(H20:K20)</f>
        <v>0</v>
      </c>
      <c r="N20" s="63">
        <v>500000</v>
      </c>
      <c r="O20" s="48">
        <f t="shared" ref="O20:S34" si="27">H20*$N20</f>
        <v>0</v>
      </c>
      <c r="P20" s="48">
        <f t="shared" si="27"/>
        <v>0</v>
      </c>
      <c r="Q20" s="48">
        <f t="shared" si="27"/>
        <v>0</v>
      </c>
      <c r="R20" s="48">
        <f t="shared" si="27"/>
        <v>0</v>
      </c>
      <c r="S20" s="144">
        <f t="shared" si="27"/>
        <v>0</v>
      </c>
      <c r="T20" s="59">
        <f t="shared" ref="T20:T34" si="28">SUM(O20:S20)</f>
        <v>0</v>
      </c>
      <c r="U20" s="180">
        <f t="shared" si="25"/>
        <v>0</v>
      </c>
      <c r="V20" s="173">
        <f t="shared" si="25"/>
        <v>0</v>
      </c>
      <c r="W20" s="173">
        <f t="shared" ref="W20:X34" si="29">IF($E20=W$17,$T20,0)</f>
        <v>0</v>
      </c>
      <c r="X20" s="181">
        <f t="shared" si="29"/>
        <v>0</v>
      </c>
    </row>
    <row r="21" spans="2:24" s="45" customFormat="1" ht="16">
      <c r="B21" s="232" t="s">
        <v>205</v>
      </c>
      <c r="C21" s="275"/>
      <c r="D21" s="65" t="s">
        <v>85</v>
      </c>
      <c r="E21" s="65" t="s">
        <v>313</v>
      </c>
      <c r="F21" s="66">
        <v>10</v>
      </c>
      <c r="G21" s="65" t="s">
        <v>34</v>
      </c>
      <c r="H21" s="155">
        <v>10</v>
      </c>
      <c r="I21" s="155">
        <v>10</v>
      </c>
      <c r="J21" s="155"/>
      <c r="K21" s="155"/>
      <c r="L21" s="155"/>
      <c r="M21" s="56">
        <f>SUM(H21:L21)</f>
        <v>20</v>
      </c>
      <c r="N21" s="63">
        <v>15000</v>
      </c>
      <c r="O21" s="48">
        <f t="shared" si="27"/>
        <v>150000</v>
      </c>
      <c r="P21" s="48">
        <f t="shared" si="27"/>
        <v>150000</v>
      </c>
      <c r="Q21" s="48">
        <f t="shared" si="27"/>
        <v>0</v>
      </c>
      <c r="R21" s="48">
        <f t="shared" si="27"/>
        <v>0</v>
      </c>
      <c r="S21" s="144">
        <f t="shared" si="27"/>
        <v>0</v>
      </c>
      <c r="T21" s="59">
        <f t="shared" si="28"/>
        <v>300000</v>
      </c>
      <c r="U21" s="180">
        <f t="shared" si="25"/>
        <v>0</v>
      </c>
      <c r="V21" s="173">
        <f t="shared" si="25"/>
        <v>0</v>
      </c>
      <c r="W21" s="173">
        <f t="shared" si="29"/>
        <v>300000</v>
      </c>
      <c r="X21" s="181">
        <f t="shared" si="29"/>
        <v>0</v>
      </c>
    </row>
    <row r="22" spans="2:24" s="45" customFormat="1" ht="16">
      <c r="B22" s="232" t="s">
        <v>205</v>
      </c>
      <c r="C22" s="275"/>
      <c r="D22" s="65" t="s">
        <v>163</v>
      </c>
      <c r="E22" s="65" t="s">
        <v>313</v>
      </c>
      <c r="F22" s="66">
        <v>10</v>
      </c>
      <c r="G22" s="65" t="s">
        <v>34</v>
      </c>
      <c r="H22" s="51">
        <v>25</v>
      </c>
      <c r="I22" s="51">
        <v>25</v>
      </c>
      <c r="J22" s="51">
        <v>25</v>
      </c>
      <c r="K22" s="51"/>
      <c r="L22" s="51"/>
      <c r="M22" s="56">
        <f t="shared" ref="M22:M26" si="30">SUM(H22:L22)</f>
        <v>75</v>
      </c>
      <c r="N22" s="63">
        <v>500</v>
      </c>
      <c r="O22" s="48">
        <f t="shared" si="27"/>
        <v>12500</v>
      </c>
      <c r="P22" s="48">
        <f t="shared" si="27"/>
        <v>12500</v>
      </c>
      <c r="Q22" s="48">
        <f t="shared" si="27"/>
        <v>12500</v>
      </c>
      <c r="R22" s="48">
        <f t="shared" si="27"/>
        <v>0</v>
      </c>
      <c r="S22" s="144">
        <f t="shared" si="27"/>
        <v>0</v>
      </c>
      <c r="T22" s="165">
        <f t="shared" si="28"/>
        <v>37500</v>
      </c>
      <c r="U22" s="180">
        <f t="shared" si="25"/>
        <v>0</v>
      </c>
      <c r="V22" s="173">
        <f t="shared" si="25"/>
        <v>0</v>
      </c>
      <c r="W22" s="173">
        <f t="shared" si="29"/>
        <v>37500</v>
      </c>
      <c r="X22" s="181">
        <f t="shared" si="29"/>
        <v>0</v>
      </c>
    </row>
    <row r="23" spans="2:24" s="45" customFormat="1" ht="16">
      <c r="B23" s="232" t="s">
        <v>205</v>
      </c>
      <c r="C23" s="275"/>
      <c r="D23" s="65" t="s">
        <v>164</v>
      </c>
      <c r="E23" s="65" t="s">
        <v>313</v>
      </c>
      <c r="F23" s="66">
        <v>10</v>
      </c>
      <c r="G23" s="65" t="s">
        <v>34</v>
      </c>
      <c r="H23" s="51">
        <v>5</v>
      </c>
      <c r="I23" s="51">
        <v>5</v>
      </c>
      <c r="J23" s="51">
        <v>5</v>
      </c>
      <c r="K23" s="51"/>
      <c r="L23" s="51"/>
      <c r="M23" s="56">
        <f t="shared" si="30"/>
        <v>15</v>
      </c>
      <c r="N23" s="63">
        <v>5000</v>
      </c>
      <c r="O23" s="48">
        <f t="shared" si="27"/>
        <v>25000</v>
      </c>
      <c r="P23" s="48">
        <f t="shared" si="27"/>
        <v>25000</v>
      </c>
      <c r="Q23" s="48">
        <f t="shared" si="27"/>
        <v>25000</v>
      </c>
      <c r="R23" s="48">
        <f t="shared" si="27"/>
        <v>0</v>
      </c>
      <c r="S23" s="144">
        <f t="shared" si="27"/>
        <v>0</v>
      </c>
      <c r="T23" s="165">
        <f t="shared" si="28"/>
        <v>75000</v>
      </c>
      <c r="U23" s="180">
        <f t="shared" si="25"/>
        <v>0</v>
      </c>
      <c r="V23" s="173">
        <f t="shared" si="25"/>
        <v>0</v>
      </c>
      <c r="W23" s="173">
        <f t="shared" si="29"/>
        <v>75000</v>
      </c>
      <c r="X23" s="181">
        <f t="shared" si="29"/>
        <v>0</v>
      </c>
    </row>
    <row r="24" spans="2:24" s="45" customFormat="1" ht="16">
      <c r="B24" s="232" t="s">
        <v>205</v>
      </c>
      <c r="C24" s="275"/>
      <c r="D24" s="65" t="s">
        <v>165</v>
      </c>
      <c r="E24" s="65" t="s">
        <v>313</v>
      </c>
      <c r="F24" s="66">
        <v>10</v>
      </c>
      <c r="G24" s="65" t="s">
        <v>34</v>
      </c>
      <c r="H24" s="51">
        <v>1</v>
      </c>
      <c r="I24" s="51">
        <v>0</v>
      </c>
      <c r="J24" s="51"/>
      <c r="K24" s="51"/>
      <c r="L24" s="51"/>
      <c r="M24" s="56">
        <f t="shared" si="30"/>
        <v>1</v>
      </c>
      <c r="N24" s="63">
        <v>50000</v>
      </c>
      <c r="O24" s="48">
        <f t="shared" si="27"/>
        <v>50000</v>
      </c>
      <c r="P24" s="48">
        <f t="shared" si="27"/>
        <v>0</v>
      </c>
      <c r="Q24" s="48">
        <f t="shared" si="27"/>
        <v>0</v>
      </c>
      <c r="R24" s="48">
        <f t="shared" si="27"/>
        <v>0</v>
      </c>
      <c r="S24" s="144">
        <f t="shared" si="27"/>
        <v>0</v>
      </c>
      <c r="T24" s="165">
        <f t="shared" si="28"/>
        <v>50000</v>
      </c>
      <c r="U24" s="180">
        <f t="shared" si="25"/>
        <v>0</v>
      </c>
      <c r="V24" s="173">
        <f t="shared" si="25"/>
        <v>0</v>
      </c>
      <c r="W24" s="173">
        <f t="shared" si="29"/>
        <v>50000</v>
      </c>
      <c r="X24" s="181">
        <f t="shared" si="29"/>
        <v>0</v>
      </c>
    </row>
    <row r="25" spans="2:24" s="45" customFormat="1" ht="16">
      <c r="B25" s="232" t="s">
        <v>205</v>
      </c>
      <c r="C25" s="275"/>
      <c r="D25" s="65" t="s">
        <v>166</v>
      </c>
      <c r="E25" s="65" t="s">
        <v>313</v>
      </c>
      <c r="F25" s="66">
        <v>10</v>
      </c>
      <c r="G25" s="65" t="s">
        <v>34</v>
      </c>
      <c r="H25" s="51"/>
      <c r="I25" s="51">
        <v>1</v>
      </c>
      <c r="J25" s="51"/>
      <c r="K25" s="51"/>
      <c r="L25" s="51"/>
      <c r="M25" s="56">
        <f t="shared" si="30"/>
        <v>1</v>
      </c>
      <c r="N25" s="63">
        <v>6000</v>
      </c>
      <c r="O25" s="48">
        <f t="shared" si="27"/>
        <v>0</v>
      </c>
      <c r="P25" s="48">
        <f t="shared" si="27"/>
        <v>6000</v>
      </c>
      <c r="Q25" s="48">
        <f t="shared" si="27"/>
        <v>0</v>
      </c>
      <c r="R25" s="48">
        <f t="shared" si="27"/>
        <v>0</v>
      </c>
      <c r="S25" s="144">
        <f t="shared" si="27"/>
        <v>0</v>
      </c>
      <c r="T25" s="165">
        <f t="shared" si="28"/>
        <v>6000</v>
      </c>
      <c r="U25" s="180">
        <f t="shared" si="25"/>
        <v>0</v>
      </c>
      <c r="V25" s="173">
        <f t="shared" si="25"/>
        <v>0</v>
      </c>
      <c r="W25" s="173">
        <f t="shared" si="29"/>
        <v>6000</v>
      </c>
      <c r="X25" s="181">
        <f t="shared" si="29"/>
        <v>0</v>
      </c>
    </row>
    <row r="26" spans="2:24" s="45" customFormat="1" ht="16">
      <c r="B26" s="232" t="s">
        <v>205</v>
      </c>
      <c r="C26" s="275"/>
      <c r="D26" s="65" t="s">
        <v>167</v>
      </c>
      <c r="E26" s="65" t="s">
        <v>313</v>
      </c>
      <c r="F26" s="66">
        <v>10</v>
      </c>
      <c r="G26" s="65" t="s">
        <v>34</v>
      </c>
      <c r="H26" s="51">
        <v>1</v>
      </c>
      <c r="I26" s="51"/>
      <c r="J26" s="51"/>
      <c r="K26" s="51"/>
      <c r="L26" s="51"/>
      <c r="M26" s="56">
        <f t="shared" si="30"/>
        <v>1</v>
      </c>
      <c r="N26" s="63">
        <v>20000</v>
      </c>
      <c r="O26" s="48">
        <f t="shared" si="27"/>
        <v>20000</v>
      </c>
      <c r="P26" s="48">
        <f t="shared" si="27"/>
        <v>0</v>
      </c>
      <c r="Q26" s="48">
        <f t="shared" si="27"/>
        <v>0</v>
      </c>
      <c r="R26" s="48">
        <f t="shared" si="27"/>
        <v>0</v>
      </c>
      <c r="S26" s="144">
        <f t="shared" si="27"/>
        <v>0</v>
      </c>
      <c r="T26" s="165">
        <f t="shared" si="28"/>
        <v>20000</v>
      </c>
      <c r="U26" s="180">
        <f t="shared" si="25"/>
        <v>0</v>
      </c>
      <c r="V26" s="173">
        <f t="shared" si="25"/>
        <v>0</v>
      </c>
      <c r="W26" s="173">
        <f t="shared" si="29"/>
        <v>20000</v>
      </c>
      <c r="X26" s="181">
        <f t="shared" si="29"/>
        <v>0</v>
      </c>
    </row>
    <row r="27" spans="2:24" s="45" customFormat="1" ht="16">
      <c r="B27" s="232" t="s">
        <v>205</v>
      </c>
      <c r="C27" s="275"/>
      <c r="D27" s="250" t="s">
        <v>169</v>
      </c>
      <c r="E27" s="65" t="s">
        <v>313</v>
      </c>
      <c r="F27" s="66">
        <v>11</v>
      </c>
      <c r="G27" s="65" t="s">
        <v>34</v>
      </c>
      <c r="H27" s="51">
        <v>1</v>
      </c>
      <c r="I27" s="51">
        <v>1</v>
      </c>
      <c r="J27" s="51"/>
      <c r="K27" s="51"/>
      <c r="L27" s="51"/>
      <c r="M27" s="56">
        <f>SUM(H27:L27)</f>
        <v>2</v>
      </c>
      <c r="N27" s="63">
        <v>20000</v>
      </c>
      <c r="O27" s="48">
        <f t="shared" si="27"/>
        <v>20000</v>
      </c>
      <c r="P27" s="48">
        <f t="shared" si="27"/>
        <v>20000</v>
      </c>
      <c r="Q27" s="48">
        <f t="shared" si="27"/>
        <v>0</v>
      </c>
      <c r="R27" s="48">
        <f t="shared" si="27"/>
        <v>0</v>
      </c>
      <c r="S27" s="144">
        <f t="shared" si="27"/>
        <v>0</v>
      </c>
      <c r="T27" s="165">
        <f t="shared" si="28"/>
        <v>40000</v>
      </c>
      <c r="U27" s="180">
        <f t="shared" si="25"/>
        <v>0</v>
      </c>
      <c r="V27" s="173">
        <f t="shared" si="25"/>
        <v>0</v>
      </c>
      <c r="W27" s="173">
        <f t="shared" si="29"/>
        <v>40000</v>
      </c>
      <c r="X27" s="181">
        <f t="shared" si="29"/>
        <v>0</v>
      </c>
    </row>
    <row r="28" spans="2:24" s="45" customFormat="1" ht="16">
      <c r="B28" s="232" t="s">
        <v>205</v>
      </c>
      <c r="C28" s="275"/>
      <c r="D28" s="65" t="s">
        <v>284</v>
      </c>
      <c r="E28" s="65" t="s">
        <v>313</v>
      </c>
      <c r="F28" s="66">
        <v>12</v>
      </c>
      <c r="G28" s="65" t="s">
        <v>34</v>
      </c>
      <c r="H28" s="51"/>
      <c r="I28" s="51">
        <v>1</v>
      </c>
      <c r="J28" s="51"/>
      <c r="K28" s="51"/>
      <c r="L28" s="51"/>
      <c r="M28" s="56">
        <f>SUM(H28:L28)</f>
        <v>1</v>
      </c>
      <c r="N28" s="63">
        <v>10000</v>
      </c>
      <c r="O28" s="48">
        <f t="shared" si="27"/>
        <v>0</v>
      </c>
      <c r="P28" s="48">
        <f t="shared" si="27"/>
        <v>10000</v>
      </c>
      <c r="Q28" s="48">
        <f>J28*$N28</f>
        <v>0</v>
      </c>
      <c r="R28" s="48">
        <f t="shared" si="27"/>
        <v>0</v>
      </c>
      <c r="S28" s="144">
        <f t="shared" si="27"/>
        <v>0</v>
      </c>
      <c r="T28" s="165">
        <f t="shared" si="28"/>
        <v>10000</v>
      </c>
      <c r="U28" s="180">
        <f t="shared" si="25"/>
        <v>0</v>
      </c>
      <c r="V28" s="173">
        <f t="shared" si="25"/>
        <v>0</v>
      </c>
      <c r="W28" s="173">
        <f t="shared" si="29"/>
        <v>10000</v>
      </c>
      <c r="X28" s="181">
        <f t="shared" si="29"/>
        <v>0</v>
      </c>
    </row>
    <row r="29" spans="2:24" s="45" customFormat="1" ht="32">
      <c r="B29" s="232" t="s">
        <v>205</v>
      </c>
      <c r="C29" s="275"/>
      <c r="D29" s="65" t="s">
        <v>87</v>
      </c>
      <c r="E29" s="65" t="s">
        <v>313</v>
      </c>
      <c r="F29" s="66">
        <v>5</v>
      </c>
      <c r="G29" s="65" t="s">
        <v>34</v>
      </c>
      <c r="H29" s="155">
        <v>1</v>
      </c>
      <c r="I29" s="155">
        <v>2</v>
      </c>
      <c r="J29" s="155"/>
      <c r="K29" s="155"/>
      <c r="L29" s="155"/>
      <c r="M29" s="56">
        <f t="shared" ref="M29:M34" si="31">SUM(H29:K29)</f>
        <v>3</v>
      </c>
      <c r="N29" s="63">
        <v>36000</v>
      </c>
      <c r="O29" s="48">
        <f t="shared" si="27"/>
        <v>36000</v>
      </c>
      <c r="P29" s="48">
        <f t="shared" si="27"/>
        <v>72000</v>
      </c>
      <c r="Q29" s="48">
        <f t="shared" si="27"/>
        <v>0</v>
      </c>
      <c r="R29" s="48">
        <f t="shared" si="27"/>
        <v>0</v>
      </c>
      <c r="S29" s="144">
        <f t="shared" si="27"/>
        <v>0</v>
      </c>
      <c r="T29" s="59">
        <f t="shared" si="28"/>
        <v>108000</v>
      </c>
      <c r="U29" s="180">
        <f t="shared" si="25"/>
        <v>0</v>
      </c>
      <c r="V29" s="173">
        <f t="shared" si="25"/>
        <v>0</v>
      </c>
      <c r="W29" s="173">
        <f t="shared" si="29"/>
        <v>108000</v>
      </c>
      <c r="X29" s="181">
        <f t="shared" si="29"/>
        <v>0</v>
      </c>
    </row>
    <row r="30" spans="2:24" s="45" customFormat="1" ht="16">
      <c r="B30" s="232" t="s">
        <v>205</v>
      </c>
      <c r="C30" s="275"/>
      <c r="D30" s="252" t="s">
        <v>291</v>
      </c>
      <c r="E30" s="65" t="s">
        <v>313</v>
      </c>
      <c r="F30" s="66"/>
      <c r="G30" s="65" t="s">
        <v>34</v>
      </c>
      <c r="H30" s="155"/>
      <c r="I30" s="155">
        <v>2</v>
      </c>
      <c r="J30" s="155">
        <v>0</v>
      </c>
      <c r="K30" s="155"/>
      <c r="L30" s="155"/>
      <c r="M30" s="56">
        <f t="shared" si="31"/>
        <v>2</v>
      </c>
      <c r="N30" s="63">
        <v>36000</v>
      </c>
      <c r="O30" s="48">
        <f t="shared" si="27"/>
        <v>0</v>
      </c>
      <c r="P30" s="48">
        <f t="shared" si="27"/>
        <v>72000</v>
      </c>
      <c r="Q30" s="48">
        <f t="shared" si="27"/>
        <v>0</v>
      </c>
      <c r="R30" s="48">
        <f t="shared" si="27"/>
        <v>0</v>
      </c>
      <c r="S30" s="144">
        <f t="shared" si="27"/>
        <v>0</v>
      </c>
      <c r="T30" s="59">
        <f t="shared" si="28"/>
        <v>72000</v>
      </c>
      <c r="U30" s="180">
        <f t="shared" si="25"/>
        <v>0</v>
      </c>
      <c r="V30" s="173">
        <f t="shared" si="25"/>
        <v>0</v>
      </c>
      <c r="W30" s="173">
        <f t="shared" si="29"/>
        <v>72000</v>
      </c>
      <c r="X30" s="181">
        <f t="shared" si="29"/>
        <v>0</v>
      </c>
    </row>
    <row r="31" spans="2:24" s="45" customFormat="1" ht="16">
      <c r="B31" s="232" t="s">
        <v>205</v>
      </c>
      <c r="C31" s="275"/>
      <c r="D31" s="65" t="s">
        <v>83</v>
      </c>
      <c r="E31" s="65" t="s">
        <v>313</v>
      </c>
      <c r="F31" s="66">
        <v>10</v>
      </c>
      <c r="G31" s="65" t="s">
        <v>34</v>
      </c>
      <c r="H31" s="155"/>
      <c r="I31" s="155">
        <v>1</v>
      </c>
      <c r="J31" s="155"/>
      <c r="K31" s="155"/>
      <c r="L31" s="155"/>
      <c r="M31" s="56">
        <f>SUM(H31:L31)</f>
        <v>1</v>
      </c>
      <c r="N31" s="63">
        <v>36000</v>
      </c>
      <c r="O31" s="48">
        <f t="shared" si="27"/>
        <v>0</v>
      </c>
      <c r="P31" s="48">
        <f t="shared" si="27"/>
        <v>36000</v>
      </c>
      <c r="Q31" s="48">
        <f t="shared" si="27"/>
        <v>0</v>
      </c>
      <c r="R31" s="48">
        <f t="shared" si="27"/>
        <v>0</v>
      </c>
      <c r="S31" s="144">
        <f t="shared" si="27"/>
        <v>0</v>
      </c>
      <c r="T31" s="59">
        <f t="shared" si="28"/>
        <v>36000</v>
      </c>
      <c r="U31" s="180">
        <f t="shared" si="25"/>
        <v>0</v>
      </c>
      <c r="V31" s="173">
        <f t="shared" si="25"/>
        <v>0</v>
      </c>
      <c r="W31" s="173">
        <f t="shared" si="29"/>
        <v>36000</v>
      </c>
      <c r="X31" s="181">
        <f t="shared" si="29"/>
        <v>0</v>
      </c>
    </row>
    <row r="32" spans="2:24" s="45" customFormat="1" ht="32">
      <c r="B32" s="232" t="s">
        <v>205</v>
      </c>
      <c r="C32" s="275"/>
      <c r="D32" s="65" t="s">
        <v>81</v>
      </c>
      <c r="E32" s="65" t="s">
        <v>313</v>
      </c>
      <c r="F32" s="66">
        <v>15</v>
      </c>
      <c r="G32" s="65" t="s">
        <v>34</v>
      </c>
      <c r="H32" s="155"/>
      <c r="I32" s="155">
        <v>1</v>
      </c>
      <c r="J32" s="155">
        <v>2</v>
      </c>
      <c r="K32" s="155"/>
      <c r="L32" s="155"/>
      <c r="M32" s="56">
        <f t="shared" si="31"/>
        <v>3</v>
      </c>
      <c r="N32" s="63">
        <v>240000</v>
      </c>
      <c r="O32" s="48">
        <f t="shared" si="27"/>
        <v>0</v>
      </c>
      <c r="P32" s="48">
        <f t="shared" si="27"/>
        <v>240000</v>
      </c>
      <c r="Q32" s="48">
        <f t="shared" si="27"/>
        <v>480000</v>
      </c>
      <c r="R32" s="48">
        <f t="shared" si="27"/>
        <v>0</v>
      </c>
      <c r="S32" s="144">
        <f t="shared" si="27"/>
        <v>0</v>
      </c>
      <c r="T32" s="59">
        <f t="shared" si="28"/>
        <v>720000</v>
      </c>
      <c r="U32" s="180">
        <f t="shared" si="25"/>
        <v>0</v>
      </c>
      <c r="V32" s="173">
        <f t="shared" si="25"/>
        <v>0</v>
      </c>
      <c r="W32" s="173">
        <f t="shared" si="29"/>
        <v>720000</v>
      </c>
      <c r="X32" s="181">
        <f t="shared" si="29"/>
        <v>0</v>
      </c>
    </row>
    <row r="33" spans="2:24" s="45" customFormat="1" ht="16">
      <c r="B33" s="232" t="s">
        <v>205</v>
      </c>
      <c r="C33" s="275"/>
      <c r="D33" s="65" t="s">
        <v>127</v>
      </c>
      <c r="E33" s="65" t="s">
        <v>313</v>
      </c>
      <c r="F33" s="66">
        <v>20</v>
      </c>
      <c r="G33" s="65" t="s">
        <v>34</v>
      </c>
      <c r="H33" s="155"/>
      <c r="I33" s="155">
        <v>1</v>
      </c>
      <c r="J33" s="155"/>
      <c r="K33" s="155"/>
      <c r="L33" s="155"/>
      <c r="M33" s="56">
        <f t="shared" si="31"/>
        <v>1</v>
      </c>
      <c r="N33" s="63">
        <v>2500000</v>
      </c>
      <c r="O33" s="48">
        <f t="shared" si="27"/>
        <v>0</v>
      </c>
      <c r="P33" s="48">
        <f t="shared" si="27"/>
        <v>2500000</v>
      </c>
      <c r="Q33" s="48">
        <f t="shared" si="27"/>
        <v>0</v>
      </c>
      <c r="R33" s="48">
        <f t="shared" si="27"/>
        <v>0</v>
      </c>
      <c r="S33" s="144">
        <f t="shared" si="27"/>
        <v>0</v>
      </c>
      <c r="T33" s="59">
        <f t="shared" si="28"/>
        <v>2500000</v>
      </c>
      <c r="U33" s="180">
        <f t="shared" si="25"/>
        <v>0</v>
      </c>
      <c r="V33" s="173">
        <f t="shared" si="25"/>
        <v>0</v>
      </c>
      <c r="W33" s="173">
        <f t="shared" si="29"/>
        <v>2500000</v>
      </c>
      <c r="X33" s="181">
        <f t="shared" si="29"/>
        <v>0</v>
      </c>
    </row>
    <row r="34" spans="2:24" s="45" customFormat="1" ht="17" thickBot="1">
      <c r="B34" s="232" t="s">
        <v>205</v>
      </c>
      <c r="C34" s="276"/>
      <c r="D34" s="67" t="s">
        <v>46</v>
      </c>
      <c r="E34" s="65" t="s">
        <v>313</v>
      </c>
      <c r="F34" s="68">
        <v>30</v>
      </c>
      <c r="G34" s="67" t="s">
        <v>6</v>
      </c>
      <c r="H34" s="156">
        <f>H33</f>
        <v>0</v>
      </c>
      <c r="I34" s="156">
        <f t="shared" ref="I34:L34" si="32">I33</f>
        <v>1</v>
      </c>
      <c r="J34" s="156">
        <f t="shared" si="32"/>
        <v>0</v>
      </c>
      <c r="K34" s="156">
        <f t="shared" si="32"/>
        <v>0</v>
      </c>
      <c r="L34" s="156">
        <f t="shared" si="32"/>
        <v>0</v>
      </c>
      <c r="M34" s="57">
        <f t="shared" si="31"/>
        <v>1</v>
      </c>
      <c r="N34" s="64">
        <v>500000</v>
      </c>
      <c r="O34" s="49">
        <f t="shared" si="27"/>
        <v>0</v>
      </c>
      <c r="P34" s="49">
        <f t="shared" si="27"/>
        <v>500000</v>
      </c>
      <c r="Q34" s="49">
        <f t="shared" si="27"/>
        <v>0</v>
      </c>
      <c r="R34" s="49">
        <f t="shared" si="27"/>
        <v>0</v>
      </c>
      <c r="S34" s="145">
        <f t="shared" si="27"/>
        <v>0</v>
      </c>
      <c r="T34" s="60">
        <f t="shared" si="28"/>
        <v>500000</v>
      </c>
      <c r="U34" s="182">
        <f t="shared" si="25"/>
        <v>0</v>
      </c>
      <c r="V34" s="183">
        <f t="shared" si="25"/>
        <v>0</v>
      </c>
      <c r="W34" s="183">
        <f t="shared" si="29"/>
        <v>500000</v>
      </c>
      <c r="X34" s="184">
        <f t="shared" si="29"/>
        <v>0</v>
      </c>
    </row>
    <row r="35" spans="2:24" s="45" customFormat="1" ht="16" thickBot="1">
      <c r="C35" s="46"/>
      <c r="D35" s="46"/>
      <c r="E35" s="46"/>
      <c r="F35" s="46"/>
      <c r="G35" s="46"/>
      <c r="H35" s="46"/>
      <c r="I35" s="46"/>
      <c r="J35" s="46"/>
      <c r="K35" s="46"/>
      <c r="L35" s="46"/>
      <c r="M35" s="46"/>
      <c r="N35" s="46"/>
      <c r="O35" s="46"/>
      <c r="P35" s="46"/>
      <c r="Q35" s="46"/>
      <c r="R35" s="46"/>
      <c r="S35" s="46"/>
      <c r="T35" s="46"/>
      <c r="U35" s="177"/>
      <c r="V35" s="177"/>
      <c r="W35" s="177"/>
      <c r="X35" s="177"/>
    </row>
    <row r="36" spans="2:24" s="45" customFormat="1" ht="16" thickBot="1">
      <c r="C36" s="47"/>
      <c r="D36" s="46"/>
      <c r="E36" s="46"/>
      <c r="F36" s="46"/>
      <c r="G36" s="46"/>
      <c r="H36" s="46"/>
      <c r="I36" s="46"/>
      <c r="J36" s="46"/>
      <c r="K36" s="46"/>
      <c r="L36" s="87"/>
      <c r="M36" s="88"/>
      <c r="N36" s="89" t="s">
        <v>105</v>
      </c>
      <c r="O36" s="83">
        <f>SUM(O19:O34)</f>
        <v>553500</v>
      </c>
      <c r="P36" s="84">
        <f>SUM(P19:P34)</f>
        <v>3643500</v>
      </c>
      <c r="Q36" s="84">
        <f>SUM(Q19:Q34)</f>
        <v>517500</v>
      </c>
      <c r="R36" s="84">
        <f>SUM(R19:R34)</f>
        <v>0</v>
      </c>
      <c r="S36" s="85">
        <f>SUM(S19:S34)</f>
        <v>0</v>
      </c>
      <c r="T36" s="61">
        <f>SUM(O36:S36)</f>
        <v>4714500</v>
      </c>
      <c r="U36" s="172">
        <f t="shared" ref="U36:X36" si="33">SUM(U19:U34)</f>
        <v>0</v>
      </c>
      <c r="V36" s="174">
        <f t="shared" si="33"/>
        <v>0</v>
      </c>
      <c r="W36" s="174">
        <f t="shared" si="33"/>
        <v>4714500</v>
      </c>
      <c r="X36" s="175">
        <f t="shared" si="33"/>
        <v>0</v>
      </c>
    </row>
    <row r="37" spans="2:24">
      <c r="C37" s="11"/>
      <c r="D37" s="2"/>
      <c r="E37" s="2"/>
      <c r="F37" s="2"/>
      <c r="G37" s="2"/>
      <c r="H37" s="2"/>
      <c r="I37" s="2"/>
      <c r="J37" s="2"/>
      <c r="K37" s="2"/>
      <c r="L37" s="2"/>
      <c r="M37" s="2"/>
      <c r="N37" s="36"/>
      <c r="O37" s="37"/>
      <c r="P37" s="37"/>
      <c r="Q37" s="37"/>
      <c r="R37" s="37"/>
      <c r="S37" s="37"/>
      <c r="T37" s="38"/>
      <c r="U37" s="38"/>
      <c r="V37" s="38"/>
      <c r="W37" s="38"/>
      <c r="X37" s="38"/>
    </row>
    <row r="38" spans="2:24" ht="16" thickBot="1">
      <c r="C38" s="9"/>
      <c r="D38" s="2"/>
      <c r="E38" s="2"/>
      <c r="F38" s="2"/>
      <c r="G38" s="2"/>
      <c r="H38" s="2"/>
      <c r="I38" s="2"/>
      <c r="J38" s="2"/>
      <c r="K38" s="2"/>
      <c r="L38" s="2"/>
      <c r="M38" s="2"/>
      <c r="N38" s="36"/>
      <c r="O38" s="37"/>
      <c r="P38" s="37"/>
      <c r="Q38" s="37"/>
      <c r="R38" s="37"/>
      <c r="S38" s="37"/>
      <c r="T38" s="38"/>
      <c r="U38" s="38"/>
      <c r="V38" s="38"/>
      <c r="W38" s="38"/>
      <c r="X38" s="38"/>
    </row>
    <row r="39" spans="2:24" s="71" customFormat="1" ht="48">
      <c r="C39" s="75" t="s">
        <v>100</v>
      </c>
      <c r="D39" s="74" t="s">
        <v>7</v>
      </c>
      <c r="E39" s="74" t="str">
        <f>E18</f>
        <v>Fin.
AFD, EU, GCF, GVNT</v>
      </c>
      <c r="F39" s="74" t="str">
        <f>F18</f>
        <v>Durée de vie (an)</v>
      </c>
      <c r="G39" s="74" t="s">
        <v>33</v>
      </c>
      <c r="H39" s="72">
        <v>2021</v>
      </c>
      <c r="I39" s="72">
        <v>2022</v>
      </c>
      <c r="J39" s="72">
        <v>2023</v>
      </c>
      <c r="K39" s="72">
        <v>2024</v>
      </c>
      <c r="L39" s="72">
        <v>2025</v>
      </c>
      <c r="M39" s="69" t="s">
        <v>44</v>
      </c>
      <c r="N39" s="62" t="s">
        <v>45</v>
      </c>
      <c r="O39" s="73" t="s">
        <v>73</v>
      </c>
      <c r="P39" s="73" t="s">
        <v>47</v>
      </c>
      <c r="Q39" s="73" t="s">
        <v>74</v>
      </c>
      <c r="R39" s="73" t="s">
        <v>75</v>
      </c>
      <c r="S39" s="73" t="s">
        <v>76</v>
      </c>
      <c r="T39" s="70" t="s">
        <v>5</v>
      </c>
      <c r="U39" s="178"/>
      <c r="V39" s="170"/>
      <c r="W39" s="170"/>
      <c r="X39" s="179"/>
    </row>
    <row r="40" spans="2:24" ht="16">
      <c r="B40" s="231" t="s">
        <v>206</v>
      </c>
      <c r="C40" s="277" t="s">
        <v>13</v>
      </c>
      <c r="D40" s="157" t="s">
        <v>84</v>
      </c>
      <c r="E40" s="65" t="s">
        <v>313</v>
      </c>
      <c r="F40" s="66">
        <v>10</v>
      </c>
      <c r="G40" s="65" t="s">
        <v>35</v>
      </c>
      <c r="H40" s="137">
        <v>1</v>
      </c>
      <c r="I40" s="137"/>
      <c r="J40" s="137"/>
      <c r="K40" s="137"/>
      <c r="L40" s="137"/>
      <c r="M40" s="56">
        <f>SUM(H40:L40)</f>
        <v>1</v>
      </c>
      <c r="N40" s="161">
        <v>300000</v>
      </c>
      <c r="O40" s="48">
        <f>H40*$N40</f>
        <v>300000</v>
      </c>
      <c r="P40" s="48">
        <f>I40*$N40</f>
        <v>0</v>
      </c>
      <c r="Q40" s="48">
        <f>J40*$N40</f>
        <v>0</v>
      </c>
      <c r="R40" s="48">
        <f>K40*$N40</f>
        <v>0</v>
      </c>
      <c r="S40" s="48">
        <f>L40*$N40</f>
        <v>0</v>
      </c>
      <c r="T40" s="59">
        <f>SUM(O40:S40)</f>
        <v>300000</v>
      </c>
      <c r="U40" s="180">
        <f>IF($E40=U$17,$T40,0)</f>
        <v>0</v>
      </c>
      <c r="V40" s="173">
        <f t="shared" ref="V40:X50" si="34">IF($E40=V$17,$T40,0)</f>
        <v>0</v>
      </c>
      <c r="W40" s="173">
        <f t="shared" si="34"/>
        <v>300000</v>
      </c>
      <c r="X40" s="181">
        <f t="shared" si="34"/>
        <v>0</v>
      </c>
    </row>
    <row r="41" spans="2:24" ht="16">
      <c r="B41" s="231" t="s">
        <v>206</v>
      </c>
      <c r="C41" s="273"/>
      <c r="D41" s="157" t="s">
        <v>89</v>
      </c>
      <c r="E41" s="65" t="s">
        <v>313</v>
      </c>
      <c r="F41" s="66">
        <v>10</v>
      </c>
      <c r="G41" s="65" t="s">
        <v>34</v>
      </c>
      <c r="H41" s="137">
        <v>0</v>
      </c>
      <c r="I41" s="137">
        <v>1</v>
      </c>
      <c r="J41" s="137"/>
      <c r="K41" s="137"/>
      <c r="L41" s="137"/>
      <c r="M41" s="56">
        <f t="shared" ref="M41:M50" si="35">SUM(H41:L41)</f>
        <v>1</v>
      </c>
      <c r="N41" s="161">
        <v>300000</v>
      </c>
      <c r="O41" s="48">
        <f t="shared" ref="O41:S50" si="36">H41*$N41</f>
        <v>0</v>
      </c>
      <c r="P41" s="48">
        <f t="shared" si="36"/>
        <v>300000</v>
      </c>
      <c r="Q41" s="48">
        <f t="shared" si="36"/>
        <v>0</v>
      </c>
      <c r="R41" s="48">
        <f t="shared" si="36"/>
        <v>0</v>
      </c>
      <c r="S41" s="48">
        <f t="shared" si="36"/>
        <v>0</v>
      </c>
      <c r="T41" s="59">
        <f t="shared" ref="T41:T50" si="37">SUM(O41:S41)</f>
        <v>300000</v>
      </c>
      <c r="U41" s="180">
        <f t="shared" ref="U41:U50" si="38">IF($E41=U$17,$T41,0)</f>
        <v>0</v>
      </c>
      <c r="V41" s="173">
        <f t="shared" si="34"/>
        <v>0</v>
      </c>
      <c r="W41" s="173">
        <f t="shared" si="34"/>
        <v>300000</v>
      </c>
      <c r="X41" s="181">
        <f t="shared" si="34"/>
        <v>0</v>
      </c>
    </row>
    <row r="42" spans="2:24" ht="16">
      <c r="B42" s="231" t="s">
        <v>206</v>
      </c>
      <c r="C42" s="273"/>
      <c r="D42" s="157" t="s">
        <v>43</v>
      </c>
      <c r="E42" s="65" t="s">
        <v>313</v>
      </c>
      <c r="F42" s="66">
        <v>10</v>
      </c>
      <c r="G42" s="65" t="s">
        <v>34</v>
      </c>
      <c r="H42" s="137"/>
      <c r="I42" s="137">
        <v>1</v>
      </c>
      <c r="J42" s="137"/>
      <c r="K42" s="137"/>
      <c r="L42" s="137"/>
      <c r="M42" s="56">
        <f t="shared" si="35"/>
        <v>1</v>
      </c>
      <c r="N42" s="161">
        <v>200000</v>
      </c>
      <c r="O42" s="48">
        <f t="shared" si="36"/>
        <v>0</v>
      </c>
      <c r="P42" s="48">
        <f t="shared" si="36"/>
        <v>200000</v>
      </c>
      <c r="Q42" s="48">
        <f t="shared" si="36"/>
        <v>0</v>
      </c>
      <c r="R42" s="48">
        <f t="shared" si="36"/>
        <v>0</v>
      </c>
      <c r="S42" s="48">
        <f t="shared" si="36"/>
        <v>0</v>
      </c>
      <c r="T42" s="59">
        <f t="shared" si="37"/>
        <v>200000</v>
      </c>
      <c r="U42" s="180">
        <f t="shared" si="38"/>
        <v>0</v>
      </c>
      <c r="V42" s="173">
        <f t="shared" si="34"/>
        <v>0</v>
      </c>
      <c r="W42" s="173">
        <f t="shared" si="34"/>
        <v>200000</v>
      </c>
      <c r="X42" s="181">
        <f t="shared" si="34"/>
        <v>0</v>
      </c>
    </row>
    <row r="43" spans="2:24" ht="16">
      <c r="B43" s="231" t="s">
        <v>206</v>
      </c>
      <c r="C43" s="273"/>
      <c r="D43" s="157" t="s">
        <v>36</v>
      </c>
      <c r="E43" s="65" t="s">
        <v>313</v>
      </c>
      <c r="F43" s="66">
        <v>10</v>
      </c>
      <c r="G43" s="65" t="s">
        <v>34</v>
      </c>
      <c r="H43" s="159"/>
      <c r="I43" s="159">
        <v>1</v>
      </c>
      <c r="J43" s="137"/>
      <c r="K43" s="137"/>
      <c r="L43" s="137"/>
      <c r="M43" s="56">
        <f t="shared" si="35"/>
        <v>1</v>
      </c>
      <c r="N43" s="161">
        <v>300000</v>
      </c>
      <c r="O43" s="48">
        <f t="shared" si="36"/>
        <v>0</v>
      </c>
      <c r="P43" s="48">
        <f t="shared" si="36"/>
        <v>300000</v>
      </c>
      <c r="Q43" s="48">
        <f t="shared" si="36"/>
        <v>0</v>
      </c>
      <c r="R43" s="48">
        <f t="shared" si="36"/>
        <v>0</v>
      </c>
      <c r="S43" s="48">
        <f t="shared" si="36"/>
        <v>0</v>
      </c>
      <c r="T43" s="59">
        <f t="shared" si="37"/>
        <v>300000</v>
      </c>
      <c r="U43" s="180">
        <f t="shared" si="38"/>
        <v>0</v>
      </c>
      <c r="V43" s="173">
        <f t="shared" si="34"/>
        <v>0</v>
      </c>
      <c r="W43" s="173">
        <f t="shared" si="34"/>
        <v>300000</v>
      </c>
      <c r="X43" s="181">
        <f t="shared" si="34"/>
        <v>0</v>
      </c>
    </row>
    <row r="44" spans="2:24" ht="16">
      <c r="B44" s="231" t="s">
        <v>206</v>
      </c>
      <c r="C44" s="273"/>
      <c r="D44" s="157" t="s">
        <v>67</v>
      </c>
      <c r="E44" s="65" t="s">
        <v>313</v>
      </c>
      <c r="F44" s="66">
        <v>10</v>
      </c>
      <c r="G44" s="65" t="s">
        <v>35</v>
      </c>
      <c r="H44" s="137"/>
      <c r="I44" s="137">
        <v>2</v>
      </c>
      <c r="J44" s="137"/>
      <c r="K44" s="137"/>
      <c r="L44" s="137"/>
      <c r="M44" s="56">
        <f t="shared" si="35"/>
        <v>2</v>
      </c>
      <c r="N44" s="161">
        <v>300000</v>
      </c>
      <c r="O44" s="48">
        <f t="shared" si="36"/>
        <v>0</v>
      </c>
      <c r="P44" s="48">
        <f t="shared" si="36"/>
        <v>600000</v>
      </c>
      <c r="Q44" s="48">
        <f t="shared" si="36"/>
        <v>0</v>
      </c>
      <c r="R44" s="48">
        <f t="shared" si="36"/>
        <v>0</v>
      </c>
      <c r="S44" s="48">
        <f t="shared" si="36"/>
        <v>0</v>
      </c>
      <c r="T44" s="59">
        <f t="shared" si="37"/>
        <v>600000</v>
      </c>
      <c r="U44" s="180">
        <f t="shared" si="38"/>
        <v>0</v>
      </c>
      <c r="V44" s="173">
        <f t="shared" si="34"/>
        <v>0</v>
      </c>
      <c r="W44" s="173">
        <f t="shared" si="34"/>
        <v>600000</v>
      </c>
      <c r="X44" s="181">
        <f t="shared" si="34"/>
        <v>0</v>
      </c>
    </row>
    <row r="45" spans="2:24" ht="16">
      <c r="B45" s="231" t="s">
        <v>206</v>
      </c>
      <c r="C45" s="273"/>
      <c r="D45" s="157" t="s">
        <v>37</v>
      </c>
      <c r="E45" s="65" t="s">
        <v>313</v>
      </c>
      <c r="F45" s="66"/>
      <c r="G45" s="65" t="s">
        <v>35</v>
      </c>
      <c r="H45" s="137"/>
      <c r="I45" s="137">
        <v>0</v>
      </c>
      <c r="J45" s="137"/>
      <c r="K45" s="137"/>
      <c r="L45" s="137"/>
      <c r="M45" s="56">
        <f t="shared" si="35"/>
        <v>0</v>
      </c>
      <c r="N45" s="161">
        <v>360000</v>
      </c>
      <c r="O45" s="48">
        <f t="shared" si="36"/>
        <v>0</v>
      </c>
      <c r="P45" s="48">
        <f t="shared" si="36"/>
        <v>0</v>
      </c>
      <c r="Q45" s="48">
        <f t="shared" si="36"/>
        <v>0</v>
      </c>
      <c r="R45" s="48">
        <f t="shared" si="36"/>
        <v>0</v>
      </c>
      <c r="S45" s="48">
        <f t="shared" si="36"/>
        <v>0</v>
      </c>
      <c r="T45" s="59">
        <f t="shared" si="37"/>
        <v>0</v>
      </c>
      <c r="U45" s="180">
        <f t="shared" si="38"/>
        <v>0</v>
      </c>
      <c r="V45" s="173">
        <f t="shared" si="34"/>
        <v>0</v>
      </c>
      <c r="W45" s="173">
        <f t="shared" si="34"/>
        <v>0</v>
      </c>
      <c r="X45" s="181">
        <f t="shared" si="34"/>
        <v>0</v>
      </c>
    </row>
    <row r="46" spans="2:24" ht="16">
      <c r="B46" s="231" t="s">
        <v>206</v>
      </c>
      <c r="C46" s="273"/>
      <c r="D46" s="157" t="s">
        <v>86</v>
      </c>
      <c r="E46" s="65" t="s">
        <v>313</v>
      </c>
      <c r="F46" s="66">
        <v>10</v>
      </c>
      <c r="G46" s="65" t="s">
        <v>35</v>
      </c>
      <c r="H46" s="137"/>
      <c r="I46" s="137">
        <v>1</v>
      </c>
      <c r="J46" s="137"/>
      <c r="K46" s="137"/>
      <c r="L46" s="137"/>
      <c r="M46" s="56">
        <f t="shared" si="35"/>
        <v>1</v>
      </c>
      <c r="N46" s="161">
        <v>500000</v>
      </c>
      <c r="O46" s="48">
        <f t="shared" si="36"/>
        <v>0</v>
      </c>
      <c r="P46" s="48">
        <f t="shared" si="36"/>
        <v>500000</v>
      </c>
      <c r="Q46" s="48">
        <f t="shared" si="36"/>
        <v>0</v>
      </c>
      <c r="R46" s="48">
        <f t="shared" si="36"/>
        <v>0</v>
      </c>
      <c r="S46" s="48">
        <f t="shared" si="36"/>
        <v>0</v>
      </c>
      <c r="T46" s="59">
        <f t="shared" si="37"/>
        <v>500000</v>
      </c>
      <c r="U46" s="180">
        <f t="shared" si="38"/>
        <v>0</v>
      </c>
      <c r="V46" s="173">
        <f t="shared" si="34"/>
        <v>0</v>
      </c>
      <c r="W46" s="173">
        <f t="shared" si="34"/>
        <v>500000</v>
      </c>
      <c r="X46" s="181">
        <f t="shared" si="34"/>
        <v>0</v>
      </c>
    </row>
    <row r="47" spans="2:24" ht="32">
      <c r="B47" s="231" t="s">
        <v>206</v>
      </c>
      <c r="C47" s="273"/>
      <c r="D47" s="157" t="s">
        <v>285</v>
      </c>
      <c r="E47" s="65" t="s">
        <v>313</v>
      </c>
      <c r="F47" s="66">
        <v>10</v>
      </c>
      <c r="G47" s="65" t="s">
        <v>35</v>
      </c>
      <c r="H47" s="137"/>
      <c r="I47" s="137">
        <v>0.5</v>
      </c>
      <c r="J47" s="137"/>
      <c r="K47" s="137"/>
      <c r="L47" s="137"/>
      <c r="M47" s="56">
        <f t="shared" si="35"/>
        <v>0.5</v>
      </c>
      <c r="N47" s="161">
        <v>600000</v>
      </c>
      <c r="O47" s="48">
        <f t="shared" si="36"/>
        <v>0</v>
      </c>
      <c r="P47" s="48">
        <f t="shared" si="36"/>
        <v>300000</v>
      </c>
      <c r="Q47" s="48">
        <f t="shared" si="36"/>
        <v>0</v>
      </c>
      <c r="R47" s="48">
        <f t="shared" si="36"/>
        <v>0</v>
      </c>
      <c r="S47" s="48">
        <f t="shared" si="36"/>
        <v>0</v>
      </c>
      <c r="T47" s="59">
        <f t="shared" si="37"/>
        <v>300000</v>
      </c>
      <c r="U47" s="180">
        <f t="shared" si="38"/>
        <v>0</v>
      </c>
      <c r="V47" s="173">
        <f t="shared" si="34"/>
        <v>0</v>
      </c>
      <c r="W47" s="173">
        <f t="shared" si="34"/>
        <v>300000</v>
      </c>
      <c r="X47" s="181">
        <f t="shared" si="34"/>
        <v>0</v>
      </c>
    </row>
    <row r="48" spans="2:24" ht="16">
      <c r="B48" s="231" t="s">
        <v>206</v>
      </c>
      <c r="C48" s="273"/>
      <c r="D48" s="157" t="s">
        <v>25</v>
      </c>
      <c r="E48" s="65" t="s">
        <v>313</v>
      </c>
      <c r="F48" s="66"/>
      <c r="G48" s="65" t="s">
        <v>34</v>
      </c>
      <c r="H48" s="137"/>
      <c r="I48" s="137"/>
      <c r="J48" s="137"/>
      <c r="K48" s="137"/>
      <c r="L48" s="137"/>
      <c r="M48" s="56">
        <f t="shared" si="35"/>
        <v>0</v>
      </c>
      <c r="N48" s="161">
        <v>420000</v>
      </c>
      <c r="O48" s="48">
        <f t="shared" si="36"/>
        <v>0</v>
      </c>
      <c r="P48" s="48">
        <f t="shared" si="36"/>
        <v>0</v>
      </c>
      <c r="Q48" s="48">
        <f t="shared" si="36"/>
        <v>0</v>
      </c>
      <c r="R48" s="48">
        <f t="shared" si="36"/>
        <v>0</v>
      </c>
      <c r="S48" s="48">
        <f t="shared" si="36"/>
        <v>0</v>
      </c>
      <c r="T48" s="59">
        <f t="shared" si="37"/>
        <v>0</v>
      </c>
      <c r="U48" s="180">
        <f t="shared" si="38"/>
        <v>0</v>
      </c>
      <c r="V48" s="173">
        <f t="shared" si="34"/>
        <v>0</v>
      </c>
      <c r="W48" s="173">
        <f t="shared" si="34"/>
        <v>0</v>
      </c>
      <c r="X48" s="181">
        <f t="shared" si="34"/>
        <v>0</v>
      </c>
    </row>
    <row r="49" spans="2:24" ht="16">
      <c r="B49" s="1" t="s">
        <v>211</v>
      </c>
      <c r="C49" s="273"/>
      <c r="D49" s="157" t="s">
        <v>42</v>
      </c>
      <c r="E49" s="65" t="s">
        <v>313</v>
      </c>
      <c r="F49" s="66"/>
      <c r="G49" s="65" t="s">
        <v>35</v>
      </c>
      <c r="H49" s="137"/>
      <c r="I49" s="137">
        <v>0.5</v>
      </c>
      <c r="J49" s="137">
        <v>0.5</v>
      </c>
      <c r="K49" s="137"/>
      <c r="L49" s="137"/>
      <c r="M49" s="56">
        <f t="shared" si="35"/>
        <v>1</v>
      </c>
      <c r="N49" s="161">
        <v>300000</v>
      </c>
      <c r="O49" s="48">
        <f t="shared" si="36"/>
        <v>0</v>
      </c>
      <c r="P49" s="48">
        <f t="shared" si="36"/>
        <v>150000</v>
      </c>
      <c r="Q49" s="48">
        <f t="shared" si="36"/>
        <v>150000</v>
      </c>
      <c r="R49" s="48">
        <f t="shared" si="36"/>
        <v>0</v>
      </c>
      <c r="S49" s="48">
        <f t="shared" si="36"/>
        <v>0</v>
      </c>
      <c r="T49" s="59">
        <f t="shared" si="37"/>
        <v>300000</v>
      </c>
      <c r="U49" s="180">
        <f t="shared" si="38"/>
        <v>0</v>
      </c>
      <c r="V49" s="173">
        <f t="shared" si="34"/>
        <v>0</v>
      </c>
      <c r="W49" s="173">
        <f t="shared" si="34"/>
        <v>300000</v>
      </c>
      <c r="X49" s="181">
        <f t="shared" si="34"/>
        <v>0</v>
      </c>
    </row>
    <row r="50" spans="2:24" ht="33" thickBot="1">
      <c r="B50" s="231" t="s">
        <v>210</v>
      </c>
      <c r="C50" s="274"/>
      <c r="D50" s="158" t="s">
        <v>90</v>
      </c>
      <c r="E50" s="65" t="s">
        <v>313</v>
      </c>
      <c r="F50" s="68">
        <v>10</v>
      </c>
      <c r="G50" s="67" t="s">
        <v>35</v>
      </c>
      <c r="H50" s="160">
        <v>4</v>
      </c>
      <c r="I50" s="160">
        <v>4</v>
      </c>
      <c r="J50" s="138">
        <v>4</v>
      </c>
      <c r="K50" s="138"/>
      <c r="L50" s="138"/>
      <c r="M50" s="57">
        <f t="shared" si="35"/>
        <v>12</v>
      </c>
      <c r="N50" s="162">
        <v>60000</v>
      </c>
      <c r="O50" s="49">
        <f t="shared" si="36"/>
        <v>240000</v>
      </c>
      <c r="P50" s="49">
        <f t="shared" si="36"/>
        <v>240000</v>
      </c>
      <c r="Q50" s="49">
        <f t="shared" si="36"/>
        <v>240000</v>
      </c>
      <c r="R50" s="49">
        <f t="shared" si="36"/>
        <v>0</v>
      </c>
      <c r="S50" s="49">
        <f t="shared" si="36"/>
        <v>0</v>
      </c>
      <c r="T50" s="60">
        <f t="shared" si="37"/>
        <v>720000</v>
      </c>
      <c r="U50" s="182">
        <f t="shared" si="38"/>
        <v>0</v>
      </c>
      <c r="V50" s="183">
        <f t="shared" si="34"/>
        <v>0</v>
      </c>
      <c r="W50" s="183">
        <f t="shared" si="34"/>
        <v>720000</v>
      </c>
      <c r="X50" s="184">
        <f t="shared" si="34"/>
        <v>0</v>
      </c>
    </row>
    <row r="51" spans="2:24" ht="16" thickBot="1">
      <c r="C51" s="9"/>
      <c r="D51" s="46"/>
      <c r="E51" s="9"/>
      <c r="F51" s="9"/>
      <c r="G51" s="9"/>
      <c r="H51" s="9"/>
      <c r="I51" s="9"/>
      <c r="J51" s="9"/>
      <c r="K51" s="9"/>
      <c r="L51" s="9"/>
      <c r="M51" s="9"/>
      <c r="N51" s="37"/>
      <c r="O51" s="37"/>
      <c r="P51" s="37"/>
      <c r="Q51" s="37"/>
      <c r="R51" s="37"/>
      <c r="S51" s="37"/>
      <c r="T51" s="37"/>
      <c r="U51" s="37"/>
      <c r="V51" s="37"/>
      <c r="W51" s="37"/>
      <c r="X51" s="37"/>
    </row>
    <row r="52" spans="2:24" s="45" customFormat="1" ht="16" thickBot="1">
      <c r="C52" s="47"/>
      <c r="D52" s="46"/>
      <c r="E52" s="46"/>
      <c r="F52" s="46"/>
      <c r="G52" s="46"/>
      <c r="H52" s="46"/>
      <c r="I52" s="46"/>
      <c r="J52" s="46"/>
      <c r="K52" s="46"/>
      <c r="L52" s="87"/>
      <c r="M52" s="88"/>
      <c r="N52" s="89" t="s">
        <v>106</v>
      </c>
      <c r="O52" s="83">
        <f>SUM(O40:O50)</f>
        <v>540000</v>
      </c>
      <c r="P52" s="84">
        <f>SUM(P40:P50)</f>
        <v>2590000</v>
      </c>
      <c r="Q52" s="84">
        <f>SUM(Q40:Q50)</f>
        <v>390000</v>
      </c>
      <c r="R52" s="84">
        <f>SUM(R40:R50)</f>
        <v>0</v>
      </c>
      <c r="S52" s="85">
        <f>SUM(S40:S50)</f>
        <v>0</v>
      </c>
      <c r="T52" s="61">
        <f>SUM(O52:S52)</f>
        <v>3520000</v>
      </c>
      <c r="U52" s="172">
        <f t="shared" ref="U52:X52" si="39">SUM(U40:U50)</f>
        <v>0</v>
      </c>
      <c r="V52" s="174">
        <f t="shared" si="39"/>
        <v>0</v>
      </c>
      <c r="W52" s="174">
        <f t="shared" si="39"/>
        <v>3520000</v>
      </c>
      <c r="X52" s="175">
        <f t="shared" si="39"/>
        <v>0</v>
      </c>
    </row>
    <row r="53" spans="2:24">
      <c r="C53" s="9"/>
      <c r="D53" s="9"/>
      <c r="E53" s="9"/>
      <c r="F53" s="9"/>
      <c r="G53" s="9"/>
      <c r="H53" s="9"/>
      <c r="I53" s="9"/>
      <c r="J53" s="9"/>
      <c r="K53" s="9"/>
      <c r="L53" s="9"/>
      <c r="M53" s="9"/>
      <c r="N53" s="9"/>
      <c r="O53" s="3"/>
      <c r="P53" s="3"/>
      <c r="Q53" s="3"/>
      <c r="R53" s="3"/>
      <c r="S53" s="3"/>
      <c r="T53" s="12"/>
      <c r="U53" s="12"/>
      <c r="V53" s="12"/>
      <c r="W53" s="12"/>
      <c r="X53" s="12"/>
    </row>
    <row r="54" spans="2:24" ht="16" thickBot="1">
      <c r="C54" s="16"/>
      <c r="D54" s="9"/>
      <c r="E54" s="9"/>
      <c r="F54" s="9"/>
      <c r="G54" s="9"/>
      <c r="H54" s="9"/>
      <c r="I54" s="9"/>
      <c r="J54" s="5"/>
      <c r="K54" s="5"/>
      <c r="L54" s="5"/>
      <c r="M54" s="5"/>
      <c r="N54" s="4"/>
      <c r="O54" s="41"/>
      <c r="P54" s="41"/>
      <c r="Q54" s="41"/>
      <c r="R54" s="41"/>
      <c r="S54" s="41"/>
      <c r="T54" s="42"/>
      <c r="U54" s="42"/>
      <c r="V54" s="42"/>
      <c r="W54" s="42"/>
      <c r="X54" s="42"/>
    </row>
    <row r="55" spans="2:24" s="71" customFormat="1" ht="48">
      <c r="C55" s="75" t="s">
        <v>101</v>
      </c>
      <c r="D55" s="74" t="s">
        <v>7</v>
      </c>
      <c r="E55" s="74" t="str">
        <f>E18</f>
        <v>Fin.
AFD, EU, GCF, GVNT</v>
      </c>
      <c r="F55" s="74" t="str">
        <f>F18</f>
        <v>Durée de vie (an)</v>
      </c>
      <c r="G55" s="74" t="s">
        <v>33</v>
      </c>
      <c r="H55" s="72">
        <v>2021</v>
      </c>
      <c r="I55" s="72">
        <v>2022</v>
      </c>
      <c r="J55" s="72">
        <v>2023</v>
      </c>
      <c r="K55" s="72">
        <v>2024</v>
      </c>
      <c r="L55" s="72">
        <v>2025</v>
      </c>
      <c r="M55" s="69" t="s">
        <v>44</v>
      </c>
      <c r="N55" s="62" t="s">
        <v>45</v>
      </c>
      <c r="O55" s="73" t="s">
        <v>9</v>
      </c>
      <c r="P55" s="73" t="s">
        <v>10</v>
      </c>
      <c r="Q55" s="73" t="s">
        <v>11</v>
      </c>
      <c r="R55" s="73" t="s">
        <v>12</v>
      </c>
      <c r="S55" s="73" t="s">
        <v>47</v>
      </c>
      <c r="T55" s="70" t="s">
        <v>28</v>
      </c>
      <c r="U55" s="185"/>
      <c r="V55" s="186"/>
      <c r="W55" s="186"/>
      <c r="X55" s="187"/>
    </row>
    <row r="56" spans="2:24" ht="16">
      <c r="B56" s="231" t="s">
        <v>207</v>
      </c>
      <c r="C56" s="277" t="s">
        <v>48</v>
      </c>
      <c r="D56" s="65" t="s">
        <v>53</v>
      </c>
      <c r="E56" s="65" t="s">
        <v>312</v>
      </c>
      <c r="F56" s="66"/>
      <c r="G56" s="65" t="s">
        <v>39</v>
      </c>
      <c r="H56" s="51">
        <v>1</v>
      </c>
      <c r="I56" s="51">
        <v>1</v>
      </c>
      <c r="J56" s="51"/>
      <c r="K56" s="51"/>
      <c r="L56" s="51"/>
      <c r="M56" s="56">
        <f t="shared" ref="M56:M61" si="40">SUM(H56:L56)</f>
        <v>2</v>
      </c>
      <c r="N56" s="63">
        <v>300000</v>
      </c>
      <c r="O56" s="48">
        <f>H56*$N56</f>
        <v>300000</v>
      </c>
      <c r="P56" s="48">
        <f>I56*$N56</f>
        <v>300000</v>
      </c>
      <c r="Q56" s="48">
        <f>J56*$N56</f>
        <v>0</v>
      </c>
      <c r="R56" s="48">
        <f>K56*$N56</f>
        <v>0</v>
      </c>
      <c r="S56" s="48">
        <f>L56*$N56</f>
        <v>0</v>
      </c>
      <c r="T56" s="59">
        <f>SUM(O56:S56)</f>
        <v>600000</v>
      </c>
      <c r="U56" s="180">
        <f>IF($E56=U$17,$T56,0)</f>
        <v>0</v>
      </c>
      <c r="V56" s="173">
        <f t="shared" ref="V56:X62" si="41">IF($E56=V$17,$T56,0)</f>
        <v>600000</v>
      </c>
      <c r="W56" s="173">
        <f t="shared" si="41"/>
        <v>0</v>
      </c>
      <c r="X56" s="181">
        <f t="shared" si="41"/>
        <v>0</v>
      </c>
    </row>
    <row r="57" spans="2:24" ht="16">
      <c r="B57" s="231" t="s">
        <v>207</v>
      </c>
      <c r="C57" s="273"/>
      <c r="D57" s="76" t="s">
        <v>50</v>
      </c>
      <c r="E57" s="65" t="s">
        <v>312</v>
      </c>
      <c r="F57" s="77"/>
      <c r="G57" s="76" t="s">
        <v>34</v>
      </c>
      <c r="H57" s="78">
        <v>10</v>
      </c>
      <c r="I57" s="78">
        <v>10</v>
      </c>
      <c r="J57" s="78">
        <v>10</v>
      </c>
      <c r="K57" s="78">
        <v>10</v>
      </c>
      <c r="L57" s="78">
        <v>10</v>
      </c>
      <c r="M57" s="79">
        <f t="shared" si="40"/>
        <v>50</v>
      </c>
      <c r="N57" s="80">
        <v>15000</v>
      </c>
      <c r="O57" s="81">
        <f t="shared" ref="O57:S62" si="42">H57*$N57</f>
        <v>150000</v>
      </c>
      <c r="P57" s="81">
        <f t="shared" si="42"/>
        <v>150000</v>
      </c>
      <c r="Q57" s="81">
        <f t="shared" si="42"/>
        <v>150000</v>
      </c>
      <c r="R57" s="81">
        <f t="shared" si="42"/>
        <v>150000</v>
      </c>
      <c r="S57" s="81">
        <f t="shared" si="42"/>
        <v>150000</v>
      </c>
      <c r="T57" s="82">
        <f t="shared" ref="T57:T62" si="43">SUM(O57:S57)</f>
        <v>750000</v>
      </c>
      <c r="U57" s="180">
        <f t="shared" ref="U57:U62" si="44">IF($E57=U$17,$T57,0)</f>
        <v>0</v>
      </c>
      <c r="V57" s="173">
        <f t="shared" si="41"/>
        <v>750000</v>
      </c>
      <c r="W57" s="173">
        <f t="shared" si="41"/>
        <v>0</v>
      </c>
      <c r="X57" s="181">
        <f t="shared" si="41"/>
        <v>0</v>
      </c>
    </row>
    <row r="58" spans="2:24" ht="16">
      <c r="B58" s="231" t="s">
        <v>207</v>
      </c>
      <c r="C58" s="273"/>
      <c r="D58" s="76" t="s">
        <v>51</v>
      </c>
      <c r="E58" s="65" t="s">
        <v>312</v>
      </c>
      <c r="F58" s="77"/>
      <c r="G58" s="76" t="s">
        <v>34</v>
      </c>
      <c r="H58" s="78"/>
      <c r="I58" s="78"/>
      <c r="J58" s="78"/>
      <c r="K58" s="78"/>
      <c r="L58" s="78"/>
      <c r="M58" s="79">
        <f t="shared" si="40"/>
        <v>0</v>
      </c>
      <c r="N58" s="80">
        <v>5000</v>
      </c>
      <c r="O58" s="81">
        <f t="shared" si="42"/>
        <v>0</v>
      </c>
      <c r="P58" s="81">
        <f t="shared" si="42"/>
        <v>0</v>
      </c>
      <c r="Q58" s="81">
        <f t="shared" si="42"/>
        <v>0</v>
      </c>
      <c r="R58" s="81">
        <f t="shared" si="42"/>
        <v>0</v>
      </c>
      <c r="S58" s="81">
        <f t="shared" si="42"/>
        <v>0</v>
      </c>
      <c r="T58" s="82">
        <f t="shared" si="43"/>
        <v>0</v>
      </c>
      <c r="U58" s="180">
        <f t="shared" si="44"/>
        <v>0</v>
      </c>
      <c r="V58" s="173">
        <f t="shared" si="41"/>
        <v>0</v>
      </c>
      <c r="W58" s="173">
        <f t="shared" si="41"/>
        <v>0</v>
      </c>
      <c r="X58" s="181">
        <f t="shared" si="41"/>
        <v>0</v>
      </c>
    </row>
    <row r="59" spans="2:24" ht="16">
      <c r="B59" s="231" t="s">
        <v>207</v>
      </c>
      <c r="C59" s="273"/>
      <c r="D59" s="76" t="s">
        <v>52</v>
      </c>
      <c r="E59" s="65" t="s">
        <v>312</v>
      </c>
      <c r="F59" s="77"/>
      <c r="G59" s="76" t="s">
        <v>34</v>
      </c>
      <c r="H59" s="78">
        <v>1</v>
      </c>
      <c r="I59" s="78">
        <v>1</v>
      </c>
      <c r="J59" s="78"/>
      <c r="K59" s="78"/>
      <c r="L59" s="78"/>
      <c r="M59" s="79">
        <f t="shared" si="40"/>
        <v>2</v>
      </c>
      <c r="N59" s="80">
        <v>20000</v>
      </c>
      <c r="O59" s="81">
        <f t="shared" si="42"/>
        <v>20000</v>
      </c>
      <c r="P59" s="81">
        <f t="shared" si="42"/>
        <v>20000</v>
      </c>
      <c r="Q59" s="81">
        <f t="shared" si="42"/>
        <v>0</v>
      </c>
      <c r="R59" s="81">
        <f t="shared" si="42"/>
        <v>0</v>
      </c>
      <c r="S59" s="81">
        <f t="shared" si="42"/>
        <v>0</v>
      </c>
      <c r="T59" s="82">
        <f t="shared" si="43"/>
        <v>40000</v>
      </c>
      <c r="U59" s="180">
        <f t="shared" si="44"/>
        <v>0</v>
      </c>
      <c r="V59" s="173">
        <f t="shared" si="41"/>
        <v>40000</v>
      </c>
      <c r="W59" s="173">
        <f t="shared" si="41"/>
        <v>0</v>
      </c>
      <c r="X59" s="181">
        <f t="shared" si="41"/>
        <v>0</v>
      </c>
    </row>
    <row r="60" spans="2:24" ht="48">
      <c r="B60" s="231" t="s">
        <v>199</v>
      </c>
      <c r="C60" s="273"/>
      <c r="D60" s="76" t="s">
        <v>80</v>
      </c>
      <c r="E60" s="65" t="s">
        <v>312</v>
      </c>
      <c r="F60" s="77"/>
      <c r="G60" s="76" t="s">
        <v>39</v>
      </c>
      <c r="H60" s="78"/>
      <c r="I60" s="78">
        <v>1</v>
      </c>
      <c r="J60" s="78"/>
      <c r="K60" s="78"/>
      <c r="L60" s="78"/>
      <c r="M60" s="79">
        <f t="shared" si="40"/>
        <v>1</v>
      </c>
      <c r="N60" s="80">
        <v>300000</v>
      </c>
      <c r="O60" s="81">
        <f t="shared" si="42"/>
        <v>0</v>
      </c>
      <c r="P60" s="81">
        <f t="shared" si="42"/>
        <v>300000</v>
      </c>
      <c r="Q60" s="81">
        <f t="shared" si="42"/>
        <v>0</v>
      </c>
      <c r="R60" s="81">
        <f t="shared" si="42"/>
        <v>0</v>
      </c>
      <c r="S60" s="81">
        <f t="shared" si="42"/>
        <v>0</v>
      </c>
      <c r="T60" s="82">
        <f t="shared" si="43"/>
        <v>300000</v>
      </c>
      <c r="U60" s="180">
        <f t="shared" si="44"/>
        <v>0</v>
      </c>
      <c r="V60" s="173">
        <f t="shared" si="41"/>
        <v>300000</v>
      </c>
      <c r="W60" s="173">
        <f t="shared" si="41"/>
        <v>0</v>
      </c>
      <c r="X60" s="181">
        <f t="shared" si="41"/>
        <v>0</v>
      </c>
    </row>
    <row r="61" spans="2:24" ht="32">
      <c r="B61" s="231" t="s">
        <v>208</v>
      </c>
      <c r="C61" s="273"/>
      <c r="D61" s="76" t="s">
        <v>54</v>
      </c>
      <c r="E61" s="65" t="s">
        <v>312</v>
      </c>
      <c r="F61" s="77"/>
      <c r="G61" s="76" t="s">
        <v>39</v>
      </c>
      <c r="H61" s="78"/>
      <c r="I61" s="78"/>
      <c r="J61" s="78">
        <v>1</v>
      </c>
      <c r="K61" s="78"/>
      <c r="L61" s="78"/>
      <c r="M61" s="79">
        <f t="shared" si="40"/>
        <v>1</v>
      </c>
      <c r="N61" s="80">
        <v>300000</v>
      </c>
      <c r="O61" s="81">
        <f t="shared" si="42"/>
        <v>0</v>
      </c>
      <c r="P61" s="81">
        <f t="shared" si="42"/>
        <v>0</v>
      </c>
      <c r="Q61" s="81">
        <f t="shared" si="42"/>
        <v>300000</v>
      </c>
      <c r="R61" s="81">
        <f t="shared" si="42"/>
        <v>0</v>
      </c>
      <c r="S61" s="81">
        <f t="shared" si="42"/>
        <v>0</v>
      </c>
      <c r="T61" s="82">
        <f t="shared" si="43"/>
        <v>300000</v>
      </c>
      <c r="U61" s="180">
        <f t="shared" si="44"/>
        <v>0</v>
      </c>
      <c r="V61" s="173">
        <f t="shared" si="41"/>
        <v>300000</v>
      </c>
      <c r="W61" s="173">
        <f t="shared" si="41"/>
        <v>0</v>
      </c>
      <c r="X61" s="181">
        <f t="shared" si="41"/>
        <v>0</v>
      </c>
    </row>
    <row r="62" spans="2:24" ht="65" thickBot="1">
      <c r="B62" s="231" t="s">
        <v>215</v>
      </c>
      <c r="C62" s="274"/>
      <c r="D62" s="67" t="s">
        <v>55</v>
      </c>
      <c r="E62" s="65" t="s">
        <v>312</v>
      </c>
      <c r="F62" s="68"/>
      <c r="G62" s="67" t="s">
        <v>39</v>
      </c>
      <c r="H62" s="52"/>
      <c r="I62" s="52"/>
      <c r="J62" s="52"/>
      <c r="K62" s="52">
        <v>1</v>
      </c>
      <c r="L62" s="52"/>
      <c r="M62" s="57">
        <f>SUM(H62:L62)</f>
        <v>1</v>
      </c>
      <c r="N62" s="64">
        <v>300000</v>
      </c>
      <c r="O62" s="49">
        <f t="shared" si="42"/>
        <v>0</v>
      </c>
      <c r="P62" s="49">
        <f t="shared" si="42"/>
        <v>0</v>
      </c>
      <c r="Q62" s="49">
        <f t="shared" si="42"/>
        <v>0</v>
      </c>
      <c r="R62" s="49">
        <f t="shared" si="42"/>
        <v>300000</v>
      </c>
      <c r="S62" s="49">
        <f t="shared" si="42"/>
        <v>0</v>
      </c>
      <c r="T62" s="60">
        <f t="shared" si="43"/>
        <v>300000</v>
      </c>
      <c r="U62" s="182">
        <f t="shared" si="44"/>
        <v>0</v>
      </c>
      <c r="V62" s="183">
        <f t="shared" si="41"/>
        <v>300000</v>
      </c>
      <c r="W62" s="183">
        <f t="shared" si="41"/>
        <v>0</v>
      </c>
      <c r="X62" s="184">
        <f t="shared" si="41"/>
        <v>0</v>
      </c>
    </row>
    <row r="63" spans="2:24" ht="16" thickBot="1">
      <c r="C63" s="16"/>
      <c r="D63" s="9"/>
      <c r="E63" s="9"/>
      <c r="F63" s="9"/>
      <c r="G63" s="9"/>
      <c r="H63" s="9"/>
      <c r="I63" s="9"/>
      <c r="J63" s="5"/>
      <c r="K63" s="5"/>
      <c r="L63" s="5"/>
      <c r="M63" s="5"/>
      <c r="N63" s="4"/>
      <c r="O63" s="39"/>
      <c r="P63" s="39"/>
      <c r="Q63" s="40"/>
      <c r="R63" s="40"/>
      <c r="S63" s="40"/>
      <c r="T63" s="41"/>
      <c r="U63" s="41"/>
      <c r="V63" s="41"/>
      <c r="W63" s="41"/>
      <c r="X63" s="41"/>
    </row>
    <row r="64" spans="2:24" s="45" customFormat="1" ht="16" thickBot="1">
      <c r="C64" s="47"/>
      <c r="D64" s="46"/>
      <c r="E64" s="46"/>
      <c r="F64" s="46"/>
      <c r="G64" s="46"/>
      <c r="H64" s="46"/>
      <c r="I64" s="46"/>
      <c r="J64" s="46"/>
      <c r="K64" s="46"/>
      <c r="L64" s="87"/>
      <c r="M64" s="88"/>
      <c r="N64" s="89" t="s">
        <v>108</v>
      </c>
      <c r="O64" s="83">
        <f>SUM(O56:O62)</f>
        <v>470000</v>
      </c>
      <c r="P64" s="84">
        <f>SUM(P56:P62)</f>
        <v>770000</v>
      </c>
      <c r="Q64" s="84">
        <f>SUM(Q56:Q62)</f>
        <v>450000</v>
      </c>
      <c r="R64" s="84">
        <f>SUM(R56:R62)</f>
        <v>450000</v>
      </c>
      <c r="S64" s="85">
        <f>SUM(S56:S62)</f>
        <v>150000</v>
      </c>
      <c r="T64" s="61">
        <f>SUM(O64:S64)</f>
        <v>2290000</v>
      </c>
      <c r="U64" s="172">
        <f>SUM(U56:U62)</f>
        <v>0</v>
      </c>
      <c r="V64" s="174">
        <f t="shared" ref="V64:X64" si="45">SUM(V56:V62)</f>
        <v>2290000</v>
      </c>
      <c r="W64" s="174">
        <f t="shared" si="45"/>
        <v>0</v>
      </c>
      <c r="X64" s="175">
        <f t="shared" si="45"/>
        <v>0</v>
      </c>
    </row>
    <row r="65" spans="2:24" s="2" customFormat="1">
      <c r="C65" s="16" t="s">
        <v>230</v>
      </c>
      <c r="D65" s="9"/>
      <c r="E65" s="9"/>
      <c r="F65" s="9"/>
      <c r="G65" s="9"/>
      <c r="H65" s="9"/>
      <c r="I65" s="9"/>
      <c r="J65" s="5"/>
      <c r="K65" s="5"/>
      <c r="L65" s="5"/>
      <c r="M65" s="5"/>
      <c r="N65" s="4"/>
      <c r="O65" s="41"/>
      <c r="P65" s="41"/>
      <c r="Q65" s="41"/>
      <c r="R65" s="41"/>
      <c r="S65" s="41"/>
      <c r="T65" s="42"/>
      <c r="U65" s="42"/>
      <c r="V65" s="42"/>
      <c r="W65" s="42"/>
      <c r="X65" s="42"/>
    </row>
    <row r="66" spans="2:24" ht="16" thickBot="1">
      <c r="C66" s="16"/>
      <c r="D66" s="9"/>
      <c r="E66" s="9"/>
      <c r="F66" s="9"/>
      <c r="G66" s="9"/>
      <c r="H66" s="9"/>
      <c r="I66" s="9"/>
      <c r="J66" s="5"/>
      <c r="K66" s="5"/>
      <c r="L66" s="5"/>
      <c r="M66" s="5"/>
      <c r="N66" s="4"/>
      <c r="O66" s="41"/>
      <c r="P66" s="41"/>
      <c r="Q66" s="41"/>
      <c r="R66" s="41"/>
      <c r="S66" s="41"/>
      <c r="T66" s="42"/>
      <c r="U66" s="42"/>
      <c r="V66" s="42"/>
      <c r="W66" s="42"/>
      <c r="X66" s="42"/>
    </row>
    <row r="67" spans="2:24" s="71" customFormat="1" ht="48">
      <c r="C67" s="75" t="s">
        <v>101</v>
      </c>
      <c r="D67" s="74" t="s">
        <v>7</v>
      </c>
      <c r="E67" s="74" t="str">
        <f>E18</f>
        <v>Fin.
AFD, EU, GCF, GVNT</v>
      </c>
      <c r="F67" s="74" t="str">
        <f>F18</f>
        <v>Durée de vie (an)</v>
      </c>
      <c r="G67" s="74" t="s">
        <v>33</v>
      </c>
      <c r="H67" s="72">
        <v>2021</v>
      </c>
      <c r="I67" s="72">
        <v>2022</v>
      </c>
      <c r="J67" s="72">
        <v>2023</v>
      </c>
      <c r="K67" s="72">
        <v>2024</v>
      </c>
      <c r="L67" s="72">
        <v>2025</v>
      </c>
      <c r="M67" s="69" t="s">
        <v>44</v>
      </c>
      <c r="N67" s="62" t="s">
        <v>45</v>
      </c>
      <c r="O67" s="73" t="s">
        <v>9</v>
      </c>
      <c r="P67" s="73" t="s">
        <v>10</v>
      </c>
      <c r="Q67" s="73" t="s">
        <v>11</v>
      </c>
      <c r="R67" s="73" t="s">
        <v>12</v>
      </c>
      <c r="S67" s="73" t="s">
        <v>47</v>
      </c>
      <c r="T67" s="70" t="s">
        <v>28</v>
      </c>
      <c r="U67" s="185"/>
      <c r="V67" s="186"/>
      <c r="W67" s="186"/>
      <c r="X67" s="187"/>
    </row>
    <row r="68" spans="2:24" ht="16">
      <c r="B68" s="231" t="s">
        <v>207</v>
      </c>
      <c r="C68" s="277" t="s">
        <v>49</v>
      </c>
      <c r="D68" s="65" t="s">
        <v>69</v>
      </c>
      <c r="E68" s="65" t="s">
        <v>312</v>
      </c>
      <c r="F68" s="66"/>
      <c r="G68" s="65" t="s">
        <v>65</v>
      </c>
      <c r="H68" s="51"/>
      <c r="I68" s="51">
        <v>0.25</v>
      </c>
      <c r="J68" s="51">
        <v>0.75</v>
      </c>
      <c r="K68" s="51"/>
      <c r="L68" s="51"/>
      <c r="M68" s="139">
        <f>SUM(H68:L68)</f>
        <v>1</v>
      </c>
      <c r="N68" s="63">
        <v>500000</v>
      </c>
      <c r="O68" s="48">
        <f>H68*$N68</f>
        <v>0</v>
      </c>
      <c r="P68" s="48">
        <f>I68*$N68</f>
        <v>125000</v>
      </c>
      <c r="Q68" s="48">
        <f>J68*$N68</f>
        <v>375000</v>
      </c>
      <c r="R68" s="48">
        <f>K68*$N68</f>
        <v>0</v>
      </c>
      <c r="S68" s="48">
        <f>L68*$N68</f>
        <v>0</v>
      </c>
      <c r="T68" s="59">
        <f>SUM(O68:S68)</f>
        <v>500000</v>
      </c>
      <c r="U68" s="180">
        <f>IF($E68=U$17,$T68,0)</f>
        <v>0</v>
      </c>
      <c r="V68" s="173">
        <f t="shared" ref="V68:X72" si="46">IF($E68=V$17,$T68,0)</f>
        <v>500000</v>
      </c>
      <c r="W68" s="173">
        <f t="shared" si="46"/>
        <v>0</v>
      </c>
      <c r="X68" s="181">
        <f t="shared" si="46"/>
        <v>0</v>
      </c>
    </row>
    <row r="69" spans="2:24" ht="32">
      <c r="B69" s="231" t="s">
        <v>208</v>
      </c>
      <c r="C69" s="273"/>
      <c r="D69" s="76" t="s">
        <v>66</v>
      </c>
      <c r="E69" s="65" t="s">
        <v>312</v>
      </c>
      <c r="F69" s="77"/>
      <c r="G69" s="76" t="s">
        <v>65</v>
      </c>
      <c r="H69" s="78">
        <v>0.5</v>
      </c>
      <c r="I69" s="78">
        <v>0.5</v>
      </c>
      <c r="J69" s="78"/>
      <c r="K69" s="78"/>
      <c r="L69" s="78"/>
      <c r="M69" s="139">
        <f t="shared" ref="M69:M71" si="47">SUM(H69:L69)</f>
        <v>1</v>
      </c>
      <c r="N69" s="80">
        <v>360000</v>
      </c>
      <c r="O69" s="81">
        <f t="shared" ref="O69:S72" si="48">H69*$N69</f>
        <v>180000</v>
      </c>
      <c r="P69" s="81">
        <f t="shared" si="48"/>
        <v>180000</v>
      </c>
      <c r="Q69" s="81">
        <f t="shared" si="48"/>
        <v>0</v>
      </c>
      <c r="R69" s="81">
        <f t="shared" si="48"/>
        <v>0</v>
      </c>
      <c r="S69" s="81">
        <f t="shared" si="48"/>
        <v>0</v>
      </c>
      <c r="T69" s="82">
        <f t="shared" ref="T69:T72" si="49">SUM(O69:S69)</f>
        <v>360000</v>
      </c>
      <c r="U69" s="180">
        <f t="shared" ref="U69:U72" si="50">IF($E69=U$17,$T69,0)</f>
        <v>0</v>
      </c>
      <c r="V69" s="173">
        <f t="shared" si="46"/>
        <v>360000</v>
      </c>
      <c r="W69" s="173">
        <f t="shared" si="46"/>
        <v>0</v>
      </c>
      <c r="X69" s="181">
        <f t="shared" si="46"/>
        <v>0</v>
      </c>
    </row>
    <row r="70" spans="2:24" ht="16">
      <c r="B70" s="231" t="s">
        <v>210</v>
      </c>
      <c r="C70" s="273"/>
      <c r="D70" s="76" t="s">
        <v>292</v>
      </c>
      <c r="E70" s="65" t="s">
        <v>313</v>
      </c>
      <c r="F70" s="77"/>
      <c r="G70" s="76" t="s">
        <v>39</v>
      </c>
      <c r="H70" s="78"/>
      <c r="I70" s="78">
        <v>1</v>
      </c>
      <c r="J70" s="51">
        <v>1</v>
      </c>
      <c r="K70" s="51">
        <v>1</v>
      </c>
      <c r="L70" s="78"/>
      <c r="M70" s="139">
        <f t="shared" si="47"/>
        <v>3</v>
      </c>
      <c r="N70" s="80">
        <v>150000</v>
      </c>
      <c r="O70" s="81">
        <f t="shared" si="48"/>
        <v>0</v>
      </c>
      <c r="P70" s="81">
        <f t="shared" si="48"/>
        <v>150000</v>
      </c>
      <c r="Q70" s="81">
        <f t="shared" si="48"/>
        <v>150000</v>
      </c>
      <c r="R70" s="81">
        <f t="shared" si="48"/>
        <v>150000</v>
      </c>
      <c r="S70" s="81">
        <f t="shared" si="48"/>
        <v>0</v>
      </c>
      <c r="T70" s="82">
        <f t="shared" si="49"/>
        <v>450000</v>
      </c>
      <c r="U70" s="180">
        <f t="shared" si="50"/>
        <v>0</v>
      </c>
      <c r="V70" s="173">
        <f t="shared" si="46"/>
        <v>0</v>
      </c>
      <c r="W70" s="173">
        <f t="shared" si="46"/>
        <v>450000</v>
      </c>
      <c r="X70" s="181">
        <f t="shared" si="46"/>
        <v>0</v>
      </c>
    </row>
    <row r="71" spans="2:24" ht="16">
      <c r="B71" s="231" t="s">
        <v>210</v>
      </c>
      <c r="C71" s="273"/>
      <c r="D71" s="76" t="s">
        <v>294</v>
      </c>
      <c r="E71" s="65" t="s">
        <v>313</v>
      </c>
      <c r="F71" s="77"/>
      <c r="G71" s="76" t="s">
        <v>39</v>
      </c>
      <c r="H71" s="78"/>
      <c r="I71" s="78"/>
      <c r="J71" s="137"/>
      <c r="K71" s="78"/>
      <c r="L71" s="137"/>
      <c r="M71" s="139">
        <f t="shared" si="47"/>
        <v>0</v>
      </c>
      <c r="N71" s="80">
        <v>150000</v>
      </c>
      <c r="O71" s="81">
        <f t="shared" si="48"/>
        <v>0</v>
      </c>
      <c r="P71" s="81">
        <f t="shared" si="48"/>
        <v>0</v>
      </c>
      <c r="Q71" s="81">
        <f t="shared" si="48"/>
        <v>0</v>
      </c>
      <c r="R71" s="81">
        <f t="shared" si="48"/>
        <v>0</v>
      </c>
      <c r="S71" s="81">
        <f t="shared" si="48"/>
        <v>0</v>
      </c>
      <c r="T71" s="82">
        <f t="shared" si="49"/>
        <v>0</v>
      </c>
      <c r="U71" s="180">
        <f t="shared" si="50"/>
        <v>0</v>
      </c>
      <c r="V71" s="173">
        <f t="shared" si="46"/>
        <v>0</v>
      </c>
      <c r="W71" s="173">
        <f t="shared" si="46"/>
        <v>0</v>
      </c>
      <c r="X71" s="181">
        <f t="shared" si="46"/>
        <v>0</v>
      </c>
    </row>
    <row r="72" spans="2:24" ht="17" thickBot="1">
      <c r="B72" s="231" t="s">
        <v>210</v>
      </c>
      <c r="C72" s="274"/>
      <c r="D72" s="67" t="s">
        <v>293</v>
      </c>
      <c r="E72" s="65" t="s">
        <v>313</v>
      </c>
      <c r="F72" s="68"/>
      <c r="G72" s="67" t="s">
        <v>39</v>
      </c>
      <c r="H72" s="52"/>
      <c r="I72" s="52">
        <v>1</v>
      </c>
      <c r="J72" s="52"/>
      <c r="K72" s="138"/>
      <c r="L72" s="52"/>
      <c r="M72" s="140">
        <f>SUM(H72:L72)</f>
        <v>1</v>
      </c>
      <c r="N72" s="64">
        <v>150000</v>
      </c>
      <c r="O72" s="49">
        <f t="shared" si="48"/>
        <v>0</v>
      </c>
      <c r="P72" s="49">
        <f t="shared" si="48"/>
        <v>150000</v>
      </c>
      <c r="Q72" s="49">
        <f t="shared" si="48"/>
        <v>0</v>
      </c>
      <c r="R72" s="49">
        <f t="shared" si="48"/>
        <v>0</v>
      </c>
      <c r="S72" s="49">
        <f t="shared" si="48"/>
        <v>0</v>
      </c>
      <c r="T72" s="60">
        <f t="shared" si="49"/>
        <v>150000</v>
      </c>
      <c r="U72" s="182">
        <f t="shared" si="50"/>
        <v>0</v>
      </c>
      <c r="V72" s="183">
        <f t="shared" si="46"/>
        <v>0</v>
      </c>
      <c r="W72" s="183">
        <f t="shared" si="46"/>
        <v>150000</v>
      </c>
      <c r="X72" s="184">
        <f t="shared" si="46"/>
        <v>0</v>
      </c>
    </row>
    <row r="73" spans="2:24" ht="16" thickBot="1">
      <c r="C73" s="16"/>
      <c r="D73" s="9"/>
      <c r="E73" s="9"/>
      <c r="F73" s="9"/>
      <c r="G73" s="9"/>
      <c r="H73" s="9"/>
      <c r="I73" s="9"/>
      <c r="J73" s="5"/>
      <c r="K73" s="5"/>
      <c r="L73" s="5"/>
      <c r="M73" s="5"/>
      <c r="N73" s="4"/>
      <c r="O73" s="39"/>
      <c r="P73" s="39"/>
      <c r="Q73" s="40"/>
      <c r="R73" s="40"/>
      <c r="S73" s="40"/>
      <c r="T73" s="41"/>
      <c r="U73" s="41"/>
      <c r="V73" s="41"/>
      <c r="W73" s="41"/>
      <c r="X73" s="41"/>
    </row>
    <row r="74" spans="2:24" s="45" customFormat="1" ht="16" thickBot="1">
      <c r="C74" s="47"/>
      <c r="D74" s="46"/>
      <c r="E74" s="46"/>
      <c r="F74" s="46"/>
      <c r="G74" s="46"/>
      <c r="H74" s="46"/>
      <c r="I74" s="46"/>
      <c r="J74" s="46"/>
      <c r="K74" s="46"/>
      <c r="L74" s="87"/>
      <c r="M74" s="88"/>
      <c r="N74" s="89" t="s">
        <v>109</v>
      </c>
      <c r="O74" s="83">
        <f>SUM(O68:O72)</f>
        <v>180000</v>
      </c>
      <c r="P74" s="84">
        <f>SUM(P68:P72)</f>
        <v>605000</v>
      </c>
      <c r="Q74" s="84">
        <f>SUM(Q68:Q72)</f>
        <v>525000</v>
      </c>
      <c r="R74" s="84">
        <f>SUM(R68:R72)</f>
        <v>150000</v>
      </c>
      <c r="S74" s="85">
        <f>SUM(S68:S72)</f>
        <v>0</v>
      </c>
      <c r="T74" s="61">
        <f>SUM(O74:S74)</f>
        <v>1460000</v>
      </c>
      <c r="U74" s="172">
        <f>SUM(U68:U72)</f>
        <v>0</v>
      </c>
      <c r="V74" s="174">
        <f t="shared" ref="V74:X74" si="51">SUM(V68:V72)</f>
        <v>860000</v>
      </c>
      <c r="W74" s="174">
        <f>SUM(W68:W72)</f>
        <v>600000</v>
      </c>
      <c r="X74" s="175">
        <f t="shared" si="51"/>
        <v>0</v>
      </c>
    </row>
    <row r="75" spans="2:24" s="2" customFormat="1">
      <c r="C75" s="16"/>
      <c r="D75" s="9"/>
      <c r="E75" s="9"/>
      <c r="F75" s="9"/>
      <c r="G75" s="9"/>
      <c r="H75" s="9"/>
      <c r="I75" s="9"/>
      <c r="J75" s="5"/>
      <c r="K75" s="5"/>
      <c r="L75" s="5"/>
      <c r="M75" s="5"/>
      <c r="N75" s="4"/>
      <c r="O75" s="41"/>
      <c r="P75" s="41"/>
      <c r="Q75" s="41"/>
      <c r="R75" s="41"/>
      <c r="S75" s="41"/>
      <c r="T75" s="42"/>
      <c r="U75" s="42"/>
      <c r="V75" s="42"/>
      <c r="W75" s="42"/>
      <c r="X75" s="42"/>
    </row>
    <row r="76" spans="2:24">
      <c r="C76" s="16"/>
      <c r="D76" s="9"/>
      <c r="E76" s="9"/>
      <c r="F76" s="9"/>
      <c r="G76" s="9"/>
      <c r="H76" s="9"/>
      <c r="I76" s="9"/>
      <c r="J76" s="5"/>
      <c r="K76" s="5"/>
      <c r="L76" s="5"/>
      <c r="M76" s="5"/>
      <c r="N76" s="4"/>
      <c r="O76" s="41"/>
      <c r="P76" s="41"/>
      <c r="Q76" s="41"/>
      <c r="R76" s="41"/>
      <c r="S76" s="41"/>
      <c r="T76" s="42"/>
      <c r="U76" s="42"/>
      <c r="V76" s="42"/>
      <c r="W76" s="42"/>
      <c r="X76" s="42"/>
    </row>
    <row r="77" spans="2:24" ht="16" thickBot="1">
      <c r="C77" s="16"/>
      <c r="D77" s="9"/>
      <c r="E77" s="9"/>
      <c r="F77" s="9"/>
      <c r="G77" s="9"/>
      <c r="H77" s="9"/>
      <c r="I77" s="9"/>
      <c r="J77" s="5"/>
      <c r="K77" s="5"/>
      <c r="L77" s="5"/>
      <c r="M77" s="5"/>
      <c r="N77" s="4"/>
      <c r="O77" s="41"/>
      <c r="P77" s="41"/>
      <c r="Q77" s="41"/>
      <c r="R77" s="41"/>
      <c r="S77" s="41"/>
      <c r="T77" s="42"/>
      <c r="U77" s="42"/>
      <c r="V77" s="42"/>
      <c r="W77" s="42"/>
      <c r="X77" s="42"/>
    </row>
    <row r="78" spans="2:24" ht="33" thickBot="1">
      <c r="C78" s="91"/>
      <c r="D78" s="92"/>
      <c r="E78" s="92"/>
      <c r="F78" s="92"/>
      <c r="G78" s="92"/>
      <c r="H78" s="92"/>
      <c r="I78" s="92"/>
      <c r="J78" s="93"/>
      <c r="K78" s="93"/>
      <c r="L78" s="93"/>
      <c r="M78" s="93"/>
      <c r="N78" s="94"/>
      <c r="O78" s="100" t="s">
        <v>73</v>
      </c>
      <c r="P78" s="100" t="s">
        <v>47</v>
      </c>
      <c r="Q78" s="100" t="s">
        <v>74</v>
      </c>
      <c r="R78" s="100" t="s">
        <v>75</v>
      </c>
      <c r="S78" s="101" t="s">
        <v>76</v>
      </c>
      <c r="T78" s="105" t="s">
        <v>63</v>
      </c>
      <c r="U78" s="169"/>
      <c r="V78" s="169"/>
      <c r="W78" s="169"/>
      <c r="X78" s="169"/>
    </row>
    <row r="79" spans="2:24" s="45" customFormat="1" ht="16" thickBot="1">
      <c r="C79" s="95"/>
      <c r="D79" s="96"/>
      <c r="E79" s="96"/>
      <c r="F79" s="96"/>
      <c r="G79" s="96"/>
      <c r="H79" s="96"/>
      <c r="I79" s="96"/>
      <c r="J79" s="96"/>
      <c r="K79" s="96"/>
      <c r="L79" s="90"/>
      <c r="M79" s="97"/>
      <c r="N79" s="98" t="s">
        <v>110</v>
      </c>
      <c r="O79" s="102">
        <f>O74+O64+O14+O52+O36</f>
        <v>2300500</v>
      </c>
      <c r="P79" s="103">
        <f>P74+P64+P14+P52+P36</f>
        <v>8372500</v>
      </c>
      <c r="Q79" s="103">
        <f>Q74+Q64+Q14+Q52+Q36</f>
        <v>2230500</v>
      </c>
      <c r="R79" s="103">
        <f>R74+R64+R14+R52+R36</f>
        <v>852000</v>
      </c>
      <c r="S79" s="104">
        <f>S74+S64+S14+S52+S36</f>
        <v>402000</v>
      </c>
      <c r="T79" s="99">
        <f>SUM(O79:S79)</f>
        <v>14157500</v>
      </c>
      <c r="U79" s="102">
        <f>SUM(U74,U64,U14,U52,U36)</f>
        <v>0</v>
      </c>
      <c r="V79" s="103">
        <f>SUM(V74,V64,V14,V52,V36)</f>
        <v>3150000</v>
      </c>
      <c r="W79" s="103">
        <f>SUM(W74,W64,W14,W52,W36)</f>
        <v>11007500</v>
      </c>
      <c r="X79" s="103">
        <f>SUM(X74,X64,X14,X52,X36)</f>
        <v>0</v>
      </c>
    </row>
    <row r="80" spans="2:24">
      <c r="C80" s="2"/>
      <c r="D80" s="2"/>
      <c r="E80" s="2"/>
      <c r="F80" s="2"/>
      <c r="G80" s="2"/>
      <c r="H80" s="2"/>
      <c r="I80" s="2"/>
      <c r="J80" s="5"/>
      <c r="K80" s="5"/>
      <c r="L80" s="5"/>
      <c r="M80" s="5"/>
      <c r="N80" s="4"/>
      <c r="O80" s="39"/>
      <c r="P80" s="39"/>
      <c r="Q80" s="39"/>
      <c r="R80" s="39"/>
      <c r="S80" s="39"/>
      <c r="T80" s="39"/>
      <c r="U80" s="39"/>
      <c r="V80" s="39"/>
      <c r="W80" s="39"/>
      <c r="X80" s="39"/>
    </row>
    <row r="81" spans="2:24" ht="16" thickBot="1">
      <c r="C81" s="2"/>
      <c r="D81" s="2"/>
      <c r="E81" s="2"/>
      <c r="F81" s="2"/>
      <c r="G81" s="2"/>
      <c r="H81" s="2"/>
      <c r="I81" s="2"/>
      <c r="J81" s="5"/>
      <c r="K81" s="5"/>
      <c r="L81" s="5"/>
      <c r="M81" s="5"/>
      <c r="N81" s="4"/>
      <c r="O81" s="39"/>
      <c r="P81" s="39"/>
      <c r="Q81" s="39"/>
      <c r="R81" s="39"/>
      <c r="S81" s="39"/>
      <c r="T81" s="39"/>
      <c r="U81" s="39"/>
      <c r="V81" s="39"/>
      <c r="W81" s="39"/>
      <c r="X81" s="39"/>
    </row>
    <row r="82" spans="2:24" s="71" customFormat="1" ht="32">
      <c r="C82" s="75" t="s">
        <v>100</v>
      </c>
      <c r="D82" s="74" t="s">
        <v>7</v>
      </c>
      <c r="E82" s="74"/>
      <c r="F82" s="74"/>
      <c r="G82" s="74" t="s">
        <v>33</v>
      </c>
      <c r="H82" s="72">
        <v>2021</v>
      </c>
      <c r="I82" s="72">
        <v>2022</v>
      </c>
      <c r="J82" s="72">
        <v>2023</v>
      </c>
      <c r="K82" s="72">
        <v>2024</v>
      </c>
      <c r="L82" s="72">
        <v>2025</v>
      </c>
      <c r="M82" s="69" t="s">
        <v>44</v>
      </c>
      <c r="N82" s="62" t="s">
        <v>45</v>
      </c>
      <c r="O82" s="73" t="s">
        <v>73</v>
      </c>
      <c r="P82" s="73" t="s">
        <v>47</v>
      </c>
      <c r="Q82" s="73" t="s">
        <v>74</v>
      </c>
      <c r="R82" s="73" t="s">
        <v>75</v>
      </c>
      <c r="S82" s="73" t="s">
        <v>76</v>
      </c>
      <c r="T82" s="70" t="s">
        <v>91</v>
      </c>
      <c r="U82" s="185"/>
      <c r="V82" s="186"/>
      <c r="W82" s="186"/>
      <c r="X82" s="187"/>
    </row>
    <row r="83" spans="2:24" ht="16">
      <c r="B83" s="231">
        <v>4.2</v>
      </c>
      <c r="C83" s="273" t="s">
        <v>56</v>
      </c>
      <c r="D83" s="65" t="s">
        <v>23</v>
      </c>
      <c r="E83" s="65" t="s">
        <v>126</v>
      </c>
      <c r="F83" s="66"/>
      <c r="G83" s="65" t="s">
        <v>39</v>
      </c>
      <c r="H83" s="149"/>
      <c r="I83" s="150"/>
      <c r="J83" s="150"/>
      <c r="K83" s="150"/>
      <c r="L83" s="150"/>
      <c r="M83" s="150"/>
      <c r="N83" s="141">
        <v>7.0000000000000007E-2</v>
      </c>
      <c r="O83" s="48">
        <v>0</v>
      </c>
      <c r="P83" s="48">
        <f>ROUND($N83*O36+O83,-3)</f>
        <v>39000</v>
      </c>
      <c r="Q83" s="48">
        <f t="shared" ref="Q83:S83" si="52">ROUND($N83*P36+P83,-3)</f>
        <v>294000</v>
      </c>
      <c r="R83" s="48">
        <f t="shared" si="52"/>
        <v>330000</v>
      </c>
      <c r="S83" s="48">
        <f t="shared" si="52"/>
        <v>330000</v>
      </c>
      <c r="T83" s="59">
        <f t="shared" ref="T83:T84" si="53">SUM(O83:S83)</f>
        <v>993000</v>
      </c>
      <c r="U83" s="180">
        <f>IF($E83=U$17,$T83,0)</f>
        <v>0</v>
      </c>
      <c r="V83" s="173">
        <f t="shared" ref="V83:X84" si="54">IF($E83=V$17,$T83,0)</f>
        <v>0</v>
      </c>
      <c r="W83" s="173">
        <f t="shared" si="54"/>
        <v>0</v>
      </c>
      <c r="X83" s="181">
        <f t="shared" si="54"/>
        <v>993000</v>
      </c>
    </row>
    <row r="84" spans="2:24" ht="17" thickBot="1">
      <c r="B84" s="231">
        <v>4.2</v>
      </c>
      <c r="C84" s="274"/>
      <c r="D84" s="67" t="s">
        <v>24</v>
      </c>
      <c r="E84" s="67" t="s">
        <v>126</v>
      </c>
      <c r="F84" s="68"/>
      <c r="G84" s="67" t="s">
        <v>39</v>
      </c>
      <c r="H84" s="152"/>
      <c r="I84" s="153"/>
      <c r="J84" s="153"/>
      <c r="K84" s="153"/>
      <c r="L84" s="153"/>
      <c r="M84" s="154"/>
      <c r="N84" s="142">
        <v>7.0000000000000007E-2</v>
      </c>
      <c r="O84" s="49">
        <v>0</v>
      </c>
      <c r="P84" s="49">
        <f>ROUND($N84*O52+O84,-3)</f>
        <v>38000</v>
      </c>
      <c r="Q84" s="49">
        <f t="shared" ref="Q84:S84" si="55">ROUND($N84*P52+P84,-3)</f>
        <v>219000</v>
      </c>
      <c r="R84" s="49">
        <f t="shared" si="55"/>
        <v>246000</v>
      </c>
      <c r="S84" s="49">
        <f t="shared" si="55"/>
        <v>246000</v>
      </c>
      <c r="T84" s="60">
        <f t="shared" si="53"/>
        <v>749000</v>
      </c>
      <c r="U84" s="182">
        <f>IF($E84=U$17,$T84,0)</f>
        <v>0</v>
      </c>
      <c r="V84" s="183">
        <f t="shared" si="54"/>
        <v>0</v>
      </c>
      <c r="W84" s="183">
        <f t="shared" si="54"/>
        <v>0</v>
      </c>
      <c r="X84" s="184">
        <f t="shared" si="54"/>
        <v>749000</v>
      </c>
    </row>
    <row r="85" spans="2:24" ht="16" thickBot="1">
      <c r="C85" s="16"/>
      <c r="D85" s="9"/>
      <c r="E85" s="9"/>
      <c r="F85" s="9"/>
      <c r="G85" s="9"/>
      <c r="H85" s="9"/>
      <c r="I85" s="9"/>
      <c r="J85" s="5"/>
      <c r="K85" s="5"/>
      <c r="L85" s="5"/>
      <c r="M85" s="5"/>
      <c r="N85" s="4"/>
      <c r="O85" s="39"/>
      <c r="P85" s="39"/>
      <c r="Q85" s="40"/>
      <c r="R85" s="40"/>
      <c r="S85" s="40"/>
      <c r="T85" s="41"/>
      <c r="U85" s="41"/>
      <c r="V85" s="41"/>
      <c r="W85" s="41"/>
      <c r="X85" s="41"/>
    </row>
    <row r="86" spans="2:24" s="45" customFormat="1" ht="16" thickBot="1">
      <c r="C86" s="47"/>
      <c r="D86" s="46"/>
      <c r="E86" s="46"/>
      <c r="F86" s="46"/>
      <c r="G86" s="46"/>
      <c r="H86" s="46"/>
      <c r="I86" s="46"/>
      <c r="J86" s="46"/>
      <c r="K86" s="46"/>
      <c r="L86" s="87"/>
      <c r="M86" s="88"/>
      <c r="N86" s="89" t="s">
        <v>111</v>
      </c>
      <c r="O86" s="83">
        <f>SUM(O83:O84)</f>
        <v>0</v>
      </c>
      <c r="P86" s="84">
        <f>SUM(P83:P84)</f>
        <v>77000</v>
      </c>
      <c r="Q86" s="84">
        <f>SUM(Q83:Q84)</f>
        <v>513000</v>
      </c>
      <c r="R86" s="84">
        <f>SUM(R83:R84)</f>
        <v>576000</v>
      </c>
      <c r="S86" s="85">
        <f>SUM(S83:S84)</f>
        <v>576000</v>
      </c>
      <c r="T86" s="61">
        <f>SUM(O86:S86)</f>
        <v>1742000</v>
      </c>
      <c r="U86" s="172">
        <f>SUM(U83:U84)</f>
        <v>0</v>
      </c>
      <c r="V86" s="174">
        <f t="shared" ref="V86:X86" si="56">SUM(V83:V84)</f>
        <v>0</v>
      </c>
      <c r="W86" s="174">
        <f t="shared" si="56"/>
        <v>0</v>
      </c>
      <c r="X86" s="175">
        <f t="shared" si="56"/>
        <v>1742000</v>
      </c>
    </row>
    <row r="87" spans="2:24">
      <c r="C87" s="2"/>
      <c r="D87" s="2"/>
      <c r="E87" s="2"/>
      <c r="F87" s="2"/>
      <c r="G87" s="2"/>
      <c r="H87" s="2"/>
      <c r="I87" s="2"/>
      <c r="J87" s="5"/>
      <c r="K87" s="5"/>
      <c r="L87" s="5"/>
      <c r="M87" s="5"/>
      <c r="N87" s="4"/>
      <c r="O87" s="39"/>
      <c r="P87" s="39"/>
      <c r="Q87" s="39"/>
      <c r="R87" s="39"/>
      <c r="S87" s="39"/>
      <c r="T87" s="39"/>
      <c r="U87" s="39"/>
      <c r="V87" s="39"/>
      <c r="W87" s="39"/>
      <c r="X87" s="39"/>
    </row>
    <row r="88" spans="2:24" ht="16" thickBot="1">
      <c r="C88" s="2"/>
      <c r="D88" s="2"/>
      <c r="E88" s="2"/>
      <c r="F88" s="2"/>
      <c r="G88" s="2"/>
      <c r="H88" s="2"/>
      <c r="I88" s="2"/>
      <c r="J88" s="5"/>
      <c r="K88" s="5"/>
      <c r="L88" s="5"/>
      <c r="M88" s="5"/>
      <c r="N88" s="4"/>
      <c r="O88" s="39"/>
      <c r="P88" s="39"/>
      <c r="Q88" s="39"/>
      <c r="R88" s="39"/>
      <c r="S88" s="39"/>
      <c r="T88" s="39"/>
      <c r="U88" s="39"/>
      <c r="V88" s="39"/>
      <c r="W88" s="39"/>
      <c r="X88" s="39"/>
    </row>
    <row r="89" spans="2:24" ht="34" thickTop="1" thickBot="1">
      <c r="C89" s="91"/>
      <c r="D89" s="92"/>
      <c r="E89" s="92"/>
      <c r="F89" s="92"/>
      <c r="G89" s="92"/>
      <c r="H89" s="92"/>
      <c r="I89" s="92"/>
      <c r="J89" s="93"/>
      <c r="K89" s="93"/>
      <c r="L89" s="93"/>
      <c r="M89" s="93"/>
      <c r="N89" s="94"/>
      <c r="O89" s="43" t="s">
        <v>73</v>
      </c>
      <c r="P89" s="43" t="s">
        <v>47</v>
      </c>
      <c r="Q89" s="43" t="s">
        <v>74</v>
      </c>
      <c r="R89" s="43" t="s">
        <v>75</v>
      </c>
      <c r="S89" s="43" t="s">
        <v>76</v>
      </c>
      <c r="T89" s="86" t="s">
        <v>92</v>
      </c>
      <c r="U89" s="185"/>
      <c r="V89" s="186"/>
      <c r="W89" s="186"/>
      <c r="X89" s="187"/>
    </row>
    <row r="90" spans="2:24" s="45" customFormat="1" ht="17" thickTop="1" thickBot="1">
      <c r="C90" s="95"/>
      <c r="D90" s="96"/>
      <c r="E90" s="96"/>
      <c r="F90" s="96"/>
      <c r="G90" s="96"/>
      <c r="H90" s="96"/>
      <c r="I90" s="96"/>
      <c r="J90" s="96"/>
      <c r="K90" s="96"/>
      <c r="L90" s="90"/>
      <c r="M90" s="97"/>
      <c r="N90" s="98" t="s">
        <v>112</v>
      </c>
      <c r="O90" s="102">
        <f t="shared" ref="O90:S90" si="57">O86+O79</f>
        <v>2300500</v>
      </c>
      <c r="P90" s="103">
        <f t="shared" si="57"/>
        <v>8449500</v>
      </c>
      <c r="Q90" s="103">
        <f t="shared" si="57"/>
        <v>2743500</v>
      </c>
      <c r="R90" s="103">
        <f t="shared" si="57"/>
        <v>1428000</v>
      </c>
      <c r="S90" s="104">
        <f t="shared" si="57"/>
        <v>978000</v>
      </c>
      <c r="T90" s="86">
        <f>T86+T79</f>
        <v>15899500</v>
      </c>
      <c r="U90" s="172">
        <f t="shared" ref="U90:X90" si="58">U86+U79</f>
        <v>0</v>
      </c>
      <c r="V90" s="174">
        <f t="shared" si="58"/>
        <v>3150000</v>
      </c>
      <c r="W90" s="174">
        <f t="shared" si="58"/>
        <v>11007500</v>
      </c>
      <c r="X90" s="175">
        <f t="shared" si="58"/>
        <v>1742000</v>
      </c>
    </row>
    <row r="91" spans="2:24" s="2" customFormat="1">
      <c r="C91" s="16"/>
      <c r="D91" s="9"/>
      <c r="E91" s="9"/>
      <c r="F91" s="9"/>
      <c r="G91" s="9"/>
      <c r="H91" s="9"/>
      <c r="I91" s="9"/>
      <c r="J91" s="5"/>
      <c r="K91" s="5"/>
      <c r="L91" s="5"/>
      <c r="M91" s="5"/>
      <c r="N91" s="4"/>
      <c r="O91" s="41"/>
      <c r="P91" s="41"/>
      <c r="Q91" s="41"/>
      <c r="R91" s="41"/>
      <c r="S91" s="41"/>
      <c r="T91" s="42"/>
      <c r="U91" s="42"/>
      <c r="V91" s="42"/>
      <c r="W91" s="42"/>
      <c r="X91" s="42"/>
    </row>
    <row r="92" spans="2:24" ht="16" thickBot="1">
      <c r="N92" s="11"/>
      <c r="O92" s="11"/>
      <c r="P92" s="11"/>
      <c r="Q92" s="11"/>
      <c r="R92" s="11"/>
      <c r="S92" s="11"/>
      <c r="T92" s="11"/>
      <c r="U92" s="11"/>
      <c r="V92" s="11"/>
      <c r="W92" s="11"/>
      <c r="X92" s="11"/>
    </row>
    <row r="93" spans="2:24" s="71" customFormat="1" ht="16">
      <c r="C93" s="75" t="s">
        <v>104</v>
      </c>
      <c r="D93" s="74" t="s">
        <v>7</v>
      </c>
      <c r="E93" s="74"/>
      <c r="F93" s="74"/>
      <c r="G93" s="74" t="s">
        <v>33</v>
      </c>
      <c r="H93" s="72">
        <v>2021</v>
      </c>
      <c r="I93" s="72">
        <v>2022</v>
      </c>
      <c r="J93" s="72">
        <v>2023</v>
      </c>
      <c r="K93" s="72">
        <v>2024</v>
      </c>
      <c r="L93" s="72">
        <v>2025</v>
      </c>
      <c r="M93" s="69"/>
      <c r="N93" s="62"/>
      <c r="O93" s="73">
        <v>2018</v>
      </c>
      <c r="P93" s="73">
        <v>2019</v>
      </c>
      <c r="Q93" s="73">
        <v>2020</v>
      </c>
      <c r="R93" s="73">
        <v>2021</v>
      </c>
      <c r="S93" s="73">
        <v>2022</v>
      </c>
      <c r="T93" s="70" t="s">
        <v>0</v>
      </c>
      <c r="U93" s="11"/>
      <c r="V93" s="11"/>
      <c r="W93" s="11"/>
      <c r="X93" s="11"/>
    </row>
    <row r="94" spans="2:24" ht="16">
      <c r="C94" s="273" t="s">
        <v>57</v>
      </c>
      <c r="D94" s="6" t="s">
        <v>58</v>
      </c>
      <c r="E94" s="6"/>
      <c r="F94" s="6"/>
      <c r="G94" s="6" t="s">
        <v>60</v>
      </c>
      <c r="H94" s="32"/>
      <c r="I94" s="33"/>
      <c r="J94" s="33"/>
      <c r="K94" s="33"/>
      <c r="L94" s="33"/>
      <c r="M94" s="29"/>
      <c r="N94" s="26"/>
      <c r="O94" s="26"/>
      <c r="P94" s="26"/>
      <c r="Q94" s="26"/>
      <c r="R94" s="26"/>
      <c r="S94" s="27"/>
      <c r="T94" s="34"/>
      <c r="U94" s="11"/>
      <c r="V94" s="11"/>
      <c r="W94" s="11"/>
      <c r="X94" s="11"/>
    </row>
    <row r="95" spans="2:24" ht="16">
      <c r="C95" s="273"/>
      <c r="D95" s="6" t="s">
        <v>59</v>
      </c>
      <c r="E95" s="6"/>
      <c r="F95" s="6"/>
      <c r="G95" s="6" t="s">
        <v>61</v>
      </c>
      <c r="H95" s="25"/>
      <c r="I95" s="25"/>
      <c r="J95" s="25"/>
      <c r="K95" s="25"/>
      <c r="L95" s="25"/>
      <c r="M95" s="30"/>
      <c r="N95" s="25"/>
      <c r="O95" s="10">
        <f>H94*H95</f>
        <v>0</v>
      </c>
      <c r="P95" s="10">
        <f t="shared" ref="P95:S95" si="59">I94*I95</f>
        <v>0</v>
      </c>
      <c r="Q95" s="10">
        <f t="shared" si="59"/>
        <v>0</v>
      </c>
      <c r="R95" s="10">
        <f t="shared" si="59"/>
        <v>0</v>
      </c>
      <c r="S95" s="10">
        <f t="shared" si="59"/>
        <v>0</v>
      </c>
      <c r="T95" s="21">
        <f t="shared" ref="T95:T96" si="60">SUM(O95:S95)</f>
        <v>0</v>
      </c>
      <c r="U95" s="11"/>
      <c r="V95" s="11"/>
      <c r="W95" s="11"/>
      <c r="X95" s="11"/>
    </row>
    <row r="96" spans="2:24" ht="17" thickBot="1">
      <c r="C96" s="274"/>
      <c r="D96" s="17" t="s">
        <v>70</v>
      </c>
      <c r="E96" s="17"/>
      <c r="F96" s="17"/>
      <c r="G96" s="17" t="s">
        <v>62</v>
      </c>
      <c r="H96" s="28"/>
      <c r="I96" s="28"/>
      <c r="J96" s="28"/>
      <c r="K96" s="28"/>
      <c r="L96" s="28"/>
      <c r="M96" s="31"/>
      <c r="N96" s="28"/>
      <c r="O96" s="18">
        <f>H94*H96</f>
        <v>0</v>
      </c>
      <c r="P96" s="18">
        <f t="shared" ref="P96:S96" si="61">I94*I96</f>
        <v>0</v>
      </c>
      <c r="Q96" s="18">
        <f t="shared" si="61"/>
        <v>0</v>
      </c>
      <c r="R96" s="18">
        <f t="shared" si="61"/>
        <v>0</v>
      </c>
      <c r="S96" s="23">
        <f t="shared" si="61"/>
        <v>0</v>
      </c>
      <c r="T96" s="22">
        <f t="shared" si="60"/>
        <v>0</v>
      </c>
      <c r="U96" s="11"/>
      <c r="V96" s="11"/>
      <c r="W96" s="11"/>
      <c r="X96" s="11"/>
    </row>
    <row r="97" spans="3:24" ht="16" thickBot="1">
      <c r="C97" s="8"/>
      <c r="D97" s="7"/>
      <c r="E97" s="7"/>
      <c r="F97" s="7"/>
      <c r="G97" s="7"/>
      <c r="H97" s="13"/>
      <c r="I97" s="13"/>
      <c r="J97" s="14"/>
      <c r="K97" s="14"/>
      <c r="L97" s="14"/>
      <c r="M97" s="11"/>
      <c r="N97" s="11"/>
      <c r="O97" s="11"/>
      <c r="P97" s="11"/>
      <c r="Q97" s="11"/>
      <c r="R97" s="11"/>
      <c r="S97" s="11"/>
      <c r="T97" s="24"/>
      <c r="U97" s="11"/>
      <c r="V97" s="11"/>
      <c r="W97" s="11"/>
      <c r="X97" s="11"/>
    </row>
    <row r="98" spans="3:24" ht="16" thickBot="1">
      <c r="L98" s="87"/>
      <c r="M98" s="88"/>
      <c r="N98" s="89" t="s">
        <v>113</v>
      </c>
      <c r="O98" s="35">
        <f>O96</f>
        <v>0</v>
      </c>
      <c r="P98" s="35">
        <f t="shared" ref="P98:S98" si="62">P96</f>
        <v>0</v>
      </c>
      <c r="Q98" s="35">
        <f t="shared" si="62"/>
        <v>0</v>
      </c>
      <c r="R98" s="35">
        <f t="shared" si="62"/>
        <v>0</v>
      </c>
      <c r="S98" s="35">
        <f t="shared" si="62"/>
        <v>0</v>
      </c>
      <c r="T98" s="15">
        <f>SUM(O98:S98)</f>
        <v>0</v>
      </c>
      <c r="U98" s="11"/>
      <c r="V98" s="11"/>
      <c r="W98" s="11"/>
      <c r="X98" s="11"/>
    </row>
    <row r="99" spans="3:24" ht="16" thickBot="1">
      <c r="U99" s="11"/>
      <c r="V99" s="11"/>
      <c r="W99" s="11"/>
      <c r="X99" s="11"/>
    </row>
    <row r="100" spans="3:24" ht="50" thickTop="1" thickBot="1">
      <c r="C100" s="106"/>
      <c r="D100" s="112" t="s">
        <v>114</v>
      </c>
      <c r="E100" s="107"/>
      <c r="F100" s="107"/>
      <c r="G100" s="107"/>
      <c r="H100" s="107"/>
      <c r="I100" s="107"/>
      <c r="J100" s="107"/>
      <c r="K100" s="107"/>
      <c r="L100" s="107"/>
      <c r="M100" s="107"/>
      <c r="N100" s="108"/>
      <c r="O100" s="19" t="s">
        <v>73</v>
      </c>
      <c r="P100" s="19" t="s">
        <v>47</v>
      </c>
      <c r="Q100" s="19" t="s">
        <v>74</v>
      </c>
      <c r="R100" s="19" t="s">
        <v>75</v>
      </c>
      <c r="S100" s="44" t="s">
        <v>76</v>
      </c>
      <c r="T100" s="20" t="s">
        <v>93</v>
      </c>
      <c r="U100" s="11"/>
      <c r="V100" s="11"/>
      <c r="W100" s="11"/>
      <c r="X100" s="11"/>
    </row>
    <row r="101" spans="3:24" s="45" customFormat="1" ht="16" thickBot="1">
      <c r="C101" s="109"/>
      <c r="D101" s="110"/>
      <c r="E101" s="110"/>
      <c r="F101" s="110"/>
      <c r="G101" s="110"/>
      <c r="H101" s="110"/>
      <c r="I101" s="110"/>
      <c r="J101" s="110"/>
      <c r="K101" s="110"/>
      <c r="L101" s="110"/>
      <c r="M101" s="110"/>
      <c r="N101" s="111"/>
      <c r="O101" s="83">
        <f>O86+O98</f>
        <v>0</v>
      </c>
      <c r="P101" s="84">
        <f>P86+P98</f>
        <v>77000</v>
      </c>
      <c r="Q101" s="84">
        <f>Q86+Q98</f>
        <v>513000</v>
      </c>
      <c r="R101" s="84">
        <f>R86+R98</f>
        <v>576000</v>
      </c>
      <c r="S101" s="85">
        <f>S86+S98</f>
        <v>576000</v>
      </c>
      <c r="T101" s="61">
        <f>S101</f>
        <v>576000</v>
      </c>
      <c r="U101" s="11"/>
      <c r="V101" s="11"/>
      <c r="W101" s="11"/>
      <c r="X101" s="11"/>
    </row>
    <row r="102" spans="3:24">
      <c r="Q102" s="271"/>
      <c r="R102" s="271"/>
      <c r="S102" s="121"/>
      <c r="U102" s="11"/>
      <c r="V102" s="11"/>
      <c r="W102" s="11"/>
      <c r="X102" s="11"/>
    </row>
    <row r="103" spans="3:24">
      <c r="Q103" s="272"/>
      <c r="R103" s="272"/>
      <c r="S103" s="121"/>
      <c r="U103" s="11"/>
      <c r="V103" s="11"/>
      <c r="W103" s="11"/>
      <c r="X103" s="11"/>
    </row>
  </sheetData>
  <mergeCells count="8">
    <mergeCell ref="C94:C96"/>
    <mergeCell ref="Q102:R103"/>
    <mergeCell ref="C19:C34"/>
    <mergeCell ref="C40:C50"/>
    <mergeCell ref="C3:C12"/>
    <mergeCell ref="C56:C62"/>
    <mergeCell ref="C68:C72"/>
    <mergeCell ref="C83:C84"/>
  </mergeCells>
  <phoneticPr fontId="8" type="noConversion"/>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64F5A-B205-4BDB-839C-3AD941DE19C5}">
  <dimension ref="B2:X116"/>
  <sheetViews>
    <sheetView topLeftCell="A30" zoomScale="80" zoomScaleNormal="80" workbookViewId="0">
      <selection activeCell="F41" sqref="F41"/>
    </sheetView>
  </sheetViews>
  <sheetFormatPr baseColWidth="10" defaultColWidth="11.5" defaultRowHeight="15"/>
  <cols>
    <col min="1" max="1" width="4" style="1" customWidth="1"/>
    <col min="2" max="2" width="6.33203125" style="1" customWidth="1"/>
    <col min="3" max="3" width="17.6640625" style="1" customWidth="1"/>
    <col min="4" max="4" width="47.83203125" style="1" customWidth="1"/>
    <col min="5" max="5" width="10" style="1" customWidth="1"/>
    <col min="6" max="6" width="11" style="1" customWidth="1"/>
    <col min="7" max="7" width="21.6640625" style="1" customWidth="1"/>
    <col min="8" max="12" width="9.5" style="1" customWidth="1"/>
    <col min="13" max="13" width="14.33203125" style="1" customWidth="1"/>
    <col min="14" max="14" width="13.5" style="1" customWidth="1"/>
    <col min="15" max="24" width="12.83203125" style="1" customWidth="1"/>
    <col min="25" max="16384" width="11.5" style="1"/>
  </cols>
  <sheetData>
    <row r="2" spans="2:24" ht="16" thickBot="1">
      <c r="H2" s="53" t="s">
        <v>96</v>
      </c>
      <c r="I2" s="50"/>
      <c r="J2" s="50"/>
      <c r="K2" s="50"/>
      <c r="L2" s="50"/>
      <c r="M2" s="54"/>
      <c r="N2" s="55"/>
      <c r="O2" s="58" t="s">
        <v>95</v>
      </c>
      <c r="P2" s="58" t="s">
        <v>95</v>
      </c>
      <c r="Q2" s="58" t="s">
        <v>95</v>
      </c>
      <c r="R2" s="58" t="s">
        <v>95</v>
      </c>
      <c r="S2" s="58" t="s">
        <v>95</v>
      </c>
      <c r="T2" s="58" t="s">
        <v>95</v>
      </c>
      <c r="U2" s="171" t="s">
        <v>94</v>
      </c>
      <c r="V2" s="171" t="s">
        <v>312</v>
      </c>
      <c r="W2" s="171" t="s">
        <v>313</v>
      </c>
      <c r="X2" s="171" t="s">
        <v>126</v>
      </c>
    </row>
    <row r="3" spans="2:24" s="71" customFormat="1" ht="48">
      <c r="C3" s="75" t="s">
        <v>99</v>
      </c>
      <c r="D3" s="74" t="s">
        <v>7</v>
      </c>
      <c r="E3" s="74" t="str">
        <f>E34</f>
        <v>Fin.
AFD, EU, GCF, GVNT</v>
      </c>
      <c r="F3" s="74" t="str">
        <f>F34</f>
        <v>Durée de vie (an)</v>
      </c>
      <c r="G3" s="74" t="s">
        <v>33</v>
      </c>
      <c r="H3" s="147">
        <v>2021</v>
      </c>
      <c r="I3" s="147">
        <v>2022</v>
      </c>
      <c r="J3" s="147">
        <v>2023</v>
      </c>
      <c r="K3" s="147">
        <v>2024</v>
      </c>
      <c r="L3" s="147">
        <v>2025</v>
      </c>
      <c r="M3" s="69" t="s">
        <v>44</v>
      </c>
      <c r="N3" s="62" t="s">
        <v>45</v>
      </c>
      <c r="O3" s="73" t="s">
        <v>73</v>
      </c>
      <c r="P3" s="73" t="s">
        <v>47</v>
      </c>
      <c r="Q3" s="73" t="s">
        <v>74</v>
      </c>
      <c r="R3" s="73" t="s">
        <v>75</v>
      </c>
      <c r="S3" s="73" t="s">
        <v>76</v>
      </c>
      <c r="T3" s="176" t="s">
        <v>8</v>
      </c>
      <c r="U3" s="185"/>
      <c r="V3" s="186"/>
      <c r="W3" s="186"/>
      <c r="X3" s="187"/>
    </row>
    <row r="4" spans="2:24" ht="16">
      <c r="B4" s="231">
        <v>4.0999999999999996</v>
      </c>
      <c r="C4" s="277" t="s">
        <v>18</v>
      </c>
      <c r="D4" s="65" t="s">
        <v>149</v>
      </c>
      <c r="E4" s="65" t="s">
        <v>313</v>
      </c>
      <c r="F4" s="66"/>
      <c r="G4" s="146" t="s">
        <v>39</v>
      </c>
      <c r="H4" s="148"/>
      <c r="I4" s="148"/>
      <c r="J4" s="148"/>
      <c r="K4" s="148"/>
      <c r="L4" s="148"/>
      <c r="M4" s="243">
        <f>SUM(H4:L4)</f>
        <v>0</v>
      </c>
      <c r="N4" s="63"/>
      <c r="O4" s="48">
        <f>$N4*(H4)</f>
        <v>0</v>
      </c>
      <c r="P4" s="48">
        <f t="shared" ref="P4:S4" si="0">$N4*(I4)</f>
        <v>0</v>
      </c>
      <c r="Q4" s="48">
        <f t="shared" si="0"/>
        <v>0</v>
      </c>
      <c r="R4" s="48">
        <f t="shared" si="0"/>
        <v>0</v>
      </c>
      <c r="S4" s="48">
        <f t="shared" si="0"/>
        <v>0</v>
      </c>
      <c r="T4" s="165">
        <f>SUM(O4:S4)</f>
        <v>0</v>
      </c>
      <c r="U4" s="180">
        <f t="shared" ref="U4:X30" si="1">IF($E4=U$2,$T4,0)</f>
        <v>0</v>
      </c>
      <c r="V4" s="173">
        <f t="shared" si="1"/>
        <v>0</v>
      </c>
      <c r="W4" s="173">
        <f t="shared" si="1"/>
        <v>0</v>
      </c>
      <c r="X4" s="181">
        <f t="shared" si="1"/>
        <v>0</v>
      </c>
    </row>
    <row r="5" spans="2:24" ht="32">
      <c r="B5" s="231">
        <v>4.0999999999999996</v>
      </c>
      <c r="C5" s="273"/>
      <c r="D5" s="65" t="s">
        <v>296</v>
      </c>
      <c r="E5" s="65" t="s">
        <v>313</v>
      </c>
      <c r="F5" s="66"/>
      <c r="G5" s="146" t="s">
        <v>39</v>
      </c>
      <c r="H5" s="148">
        <v>12</v>
      </c>
      <c r="I5" s="148">
        <v>12</v>
      </c>
      <c r="J5" s="148">
        <v>12</v>
      </c>
      <c r="K5" s="148">
        <v>12</v>
      </c>
      <c r="L5" s="148">
        <v>12</v>
      </c>
      <c r="M5" s="56">
        <f>SUM(H5:L5)</f>
        <v>60</v>
      </c>
      <c r="N5" s="63">
        <v>18000</v>
      </c>
      <c r="O5" s="48">
        <f>H5*$N5</f>
        <v>216000</v>
      </c>
      <c r="P5" s="48">
        <f>I5*$N5</f>
        <v>216000</v>
      </c>
      <c r="Q5" s="48">
        <f>J5*$N5</f>
        <v>216000</v>
      </c>
      <c r="R5" s="48">
        <f>K5*$N5</f>
        <v>216000</v>
      </c>
      <c r="S5" s="48">
        <f>L5*$N5</f>
        <v>216000</v>
      </c>
      <c r="T5" s="165">
        <f t="shared" ref="T5" si="2">SUM(O5:S5)</f>
        <v>1080000</v>
      </c>
      <c r="U5" s="180">
        <f t="shared" si="1"/>
        <v>0</v>
      </c>
      <c r="V5" s="173">
        <f t="shared" si="1"/>
        <v>0</v>
      </c>
      <c r="W5" s="173">
        <f t="shared" si="1"/>
        <v>1080000</v>
      </c>
      <c r="X5" s="181">
        <f t="shared" si="1"/>
        <v>0</v>
      </c>
    </row>
    <row r="6" spans="2:24" ht="32">
      <c r="B6" s="231">
        <v>4.0999999999999996</v>
      </c>
      <c r="C6" s="273"/>
      <c r="D6" s="65" t="s">
        <v>297</v>
      </c>
      <c r="E6" s="65" t="s">
        <v>313</v>
      </c>
      <c r="F6" s="66"/>
      <c r="G6" s="146" t="s">
        <v>39</v>
      </c>
      <c r="H6" s="148">
        <v>12</v>
      </c>
      <c r="I6" s="148">
        <v>12</v>
      </c>
      <c r="J6" s="148">
        <v>12</v>
      </c>
      <c r="K6" s="148">
        <v>12</v>
      </c>
      <c r="L6" s="148">
        <v>12</v>
      </c>
      <c r="M6" s="56">
        <f t="shared" ref="M6:M20" si="3">SUM(H6:L6)</f>
        <v>60</v>
      </c>
      <c r="N6" s="63">
        <v>2000</v>
      </c>
      <c r="O6" s="48">
        <f t="shared" ref="O6:O20" si="4">H6*$N6</f>
        <v>24000</v>
      </c>
      <c r="P6" s="48">
        <f t="shared" ref="P6:P20" si="5">I6*$N6</f>
        <v>24000</v>
      </c>
      <c r="Q6" s="48">
        <f t="shared" ref="Q6:Q20" si="6">J6*$N6</f>
        <v>24000</v>
      </c>
      <c r="R6" s="48">
        <f t="shared" ref="R6:R20" si="7">K6*$N6</f>
        <v>24000</v>
      </c>
      <c r="S6" s="48">
        <f t="shared" ref="S6:S20" si="8">L6*$N6</f>
        <v>24000</v>
      </c>
      <c r="T6" s="165">
        <f t="shared" ref="T6:T20" si="9">SUM(O6:S6)</f>
        <v>120000</v>
      </c>
      <c r="U6" s="180">
        <f t="shared" si="1"/>
        <v>0</v>
      </c>
      <c r="V6" s="173">
        <f t="shared" si="1"/>
        <v>0</v>
      </c>
      <c r="W6" s="173">
        <f t="shared" si="1"/>
        <v>120000</v>
      </c>
      <c r="X6" s="181">
        <f t="shared" si="1"/>
        <v>0</v>
      </c>
    </row>
    <row r="7" spans="2:24" ht="32">
      <c r="B7" s="231">
        <v>4.0999999999999996</v>
      </c>
      <c r="C7" s="273"/>
      <c r="D7" s="65" t="s">
        <v>298</v>
      </c>
      <c r="E7" s="65" t="s">
        <v>313</v>
      </c>
      <c r="F7" s="66"/>
      <c r="G7" s="146" t="s">
        <v>39</v>
      </c>
      <c r="H7" s="148">
        <v>12</v>
      </c>
      <c r="I7" s="148">
        <v>12</v>
      </c>
      <c r="J7" s="148">
        <v>12</v>
      </c>
      <c r="K7" s="148">
        <v>12</v>
      </c>
      <c r="L7" s="148">
        <v>12</v>
      </c>
      <c r="M7" s="56">
        <f t="shared" si="3"/>
        <v>60</v>
      </c>
      <c r="N7" s="63">
        <v>2000</v>
      </c>
      <c r="O7" s="48">
        <f t="shared" si="4"/>
        <v>24000</v>
      </c>
      <c r="P7" s="48">
        <f t="shared" si="5"/>
        <v>24000</v>
      </c>
      <c r="Q7" s="48">
        <f t="shared" si="6"/>
        <v>24000</v>
      </c>
      <c r="R7" s="48">
        <f t="shared" si="7"/>
        <v>24000</v>
      </c>
      <c r="S7" s="48">
        <f t="shared" si="8"/>
        <v>24000</v>
      </c>
      <c r="T7" s="165">
        <f t="shared" si="9"/>
        <v>120000</v>
      </c>
      <c r="U7" s="180">
        <f t="shared" si="1"/>
        <v>0</v>
      </c>
      <c r="V7" s="173">
        <f t="shared" si="1"/>
        <v>0</v>
      </c>
      <c r="W7" s="173">
        <f t="shared" si="1"/>
        <v>120000</v>
      </c>
      <c r="X7" s="181">
        <f t="shared" si="1"/>
        <v>0</v>
      </c>
    </row>
    <row r="8" spans="2:24" ht="32">
      <c r="B8" s="231">
        <v>4.0999999999999996</v>
      </c>
      <c r="C8" s="273"/>
      <c r="D8" s="65" t="s">
        <v>299</v>
      </c>
      <c r="E8" s="65" t="s">
        <v>313</v>
      </c>
      <c r="F8" s="66"/>
      <c r="G8" s="146" t="s">
        <v>39</v>
      </c>
      <c r="H8" s="148">
        <v>12</v>
      </c>
      <c r="I8" s="148">
        <v>12</v>
      </c>
      <c r="J8" s="148">
        <v>12</v>
      </c>
      <c r="K8" s="148">
        <v>12</v>
      </c>
      <c r="L8" s="148">
        <v>12</v>
      </c>
      <c r="M8" s="56">
        <f t="shared" si="3"/>
        <v>60</v>
      </c>
      <c r="N8" s="63">
        <v>2000</v>
      </c>
      <c r="O8" s="48">
        <f t="shared" si="4"/>
        <v>24000</v>
      </c>
      <c r="P8" s="48">
        <f t="shared" si="5"/>
        <v>24000</v>
      </c>
      <c r="Q8" s="48">
        <f t="shared" si="6"/>
        <v>24000</v>
      </c>
      <c r="R8" s="48">
        <f t="shared" si="7"/>
        <v>24000</v>
      </c>
      <c r="S8" s="48">
        <f t="shared" si="8"/>
        <v>24000</v>
      </c>
      <c r="T8" s="165">
        <f t="shared" si="9"/>
        <v>120000</v>
      </c>
      <c r="U8" s="180">
        <f t="shared" si="1"/>
        <v>0</v>
      </c>
      <c r="V8" s="173">
        <f t="shared" si="1"/>
        <v>0</v>
      </c>
      <c r="W8" s="173">
        <f t="shared" si="1"/>
        <v>120000</v>
      </c>
      <c r="X8" s="181">
        <f t="shared" si="1"/>
        <v>0</v>
      </c>
    </row>
    <row r="9" spans="2:24" ht="32">
      <c r="B9" s="231">
        <v>4.0999999999999996</v>
      </c>
      <c r="C9" s="273"/>
      <c r="D9" s="65" t="s">
        <v>300</v>
      </c>
      <c r="E9" s="65" t="s">
        <v>313</v>
      </c>
      <c r="F9" s="66"/>
      <c r="G9" s="146" t="s">
        <v>39</v>
      </c>
      <c r="H9" s="148">
        <v>12</v>
      </c>
      <c r="I9" s="148">
        <v>12</v>
      </c>
      <c r="J9" s="148">
        <v>12</v>
      </c>
      <c r="K9" s="148">
        <v>12</v>
      </c>
      <c r="L9" s="148">
        <v>12</v>
      </c>
      <c r="M9" s="56">
        <f t="shared" si="3"/>
        <v>60</v>
      </c>
      <c r="N9" s="63">
        <v>2000</v>
      </c>
      <c r="O9" s="48">
        <f t="shared" si="4"/>
        <v>24000</v>
      </c>
      <c r="P9" s="48">
        <f t="shared" si="5"/>
        <v>24000</v>
      </c>
      <c r="Q9" s="48">
        <f t="shared" si="6"/>
        <v>24000</v>
      </c>
      <c r="R9" s="48">
        <f t="shared" si="7"/>
        <v>24000</v>
      </c>
      <c r="S9" s="48">
        <f t="shared" si="8"/>
        <v>24000</v>
      </c>
      <c r="T9" s="165">
        <f t="shared" si="9"/>
        <v>120000</v>
      </c>
      <c r="U9" s="180">
        <f t="shared" si="1"/>
        <v>0</v>
      </c>
      <c r="V9" s="173">
        <f t="shared" si="1"/>
        <v>0</v>
      </c>
      <c r="W9" s="173">
        <f t="shared" si="1"/>
        <v>120000</v>
      </c>
      <c r="X9" s="181">
        <f t="shared" si="1"/>
        <v>0</v>
      </c>
    </row>
    <row r="10" spans="2:24" ht="64">
      <c r="B10" s="231">
        <v>4.0999999999999996</v>
      </c>
      <c r="C10" s="273"/>
      <c r="D10" s="65" t="s">
        <v>301</v>
      </c>
      <c r="E10" s="65" t="s">
        <v>313</v>
      </c>
      <c r="F10" s="66"/>
      <c r="G10" s="146" t="s">
        <v>39</v>
      </c>
      <c r="H10" s="148">
        <v>3</v>
      </c>
      <c r="I10" s="148">
        <v>3</v>
      </c>
      <c r="J10" s="148">
        <v>1</v>
      </c>
      <c r="K10" s="148"/>
      <c r="L10" s="148"/>
      <c r="M10" s="56">
        <f t="shared" si="3"/>
        <v>7</v>
      </c>
      <c r="N10" s="63">
        <v>11000</v>
      </c>
      <c r="O10" s="48">
        <f t="shared" si="4"/>
        <v>33000</v>
      </c>
      <c r="P10" s="48">
        <f t="shared" si="5"/>
        <v>33000</v>
      </c>
      <c r="Q10" s="48">
        <f t="shared" si="6"/>
        <v>11000</v>
      </c>
      <c r="R10" s="48">
        <f t="shared" si="7"/>
        <v>0</v>
      </c>
      <c r="S10" s="48">
        <f t="shared" si="8"/>
        <v>0</v>
      </c>
      <c r="T10" s="165">
        <f t="shared" si="9"/>
        <v>77000</v>
      </c>
      <c r="U10" s="180">
        <f t="shared" si="1"/>
        <v>0</v>
      </c>
      <c r="V10" s="173">
        <f t="shared" si="1"/>
        <v>0</v>
      </c>
      <c r="W10" s="173">
        <f t="shared" si="1"/>
        <v>77000</v>
      </c>
      <c r="X10" s="181">
        <f t="shared" si="1"/>
        <v>0</v>
      </c>
    </row>
    <row r="11" spans="2:24" ht="16">
      <c r="B11" s="231">
        <v>4.0999999999999996</v>
      </c>
      <c r="C11" s="273"/>
      <c r="D11" s="65" t="s">
        <v>302</v>
      </c>
      <c r="E11" s="65" t="s">
        <v>313</v>
      </c>
      <c r="F11" s="66"/>
      <c r="G11" s="146" t="s">
        <v>39</v>
      </c>
      <c r="H11" s="148">
        <v>12</v>
      </c>
      <c r="I11" s="148">
        <v>12</v>
      </c>
      <c r="J11" s="148">
        <v>12</v>
      </c>
      <c r="K11" s="148">
        <v>12</v>
      </c>
      <c r="L11" s="148">
        <v>12</v>
      </c>
      <c r="M11" s="56">
        <f t="shared" si="3"/>
        <v>60</v>
      </c>
      <c r="N11" s="63">
        <v>2000</v>
      </c>
      <c r="O11" s="48">
        <f t="shared" si="4"/>
        <v>24000</v>
      </c>
      <c r="P11" s="48">
        <f t="shared" si="5"/>
        <v>24000</v>
      </c>
      <c r="Q11" s="48">
        <f t="shared" si="6"/>
        <v>24000</v>
      </c>
      <c r="R11" s="48">
        <f t="shared" si="7"/>
        <v>24000</v>
      </c>
      <c r="S11" s="48">
        <f t="shared" si="8"/>
        <v>24000</v>
      </c>
      <c r="T11" s="165">
        <f t="shared" si="9"/>
        <v>120000</v>
      </c>
      <c r="U11" s="180">
        <f t="shared" si="1"/>
        <v>0</v>
      </c>
      <c r="V11" s="173">
        <f t="shared" si="1"/>
        <v>0</v>
      </c>
      <c r="W11" s="173">
        <f t="shared" si="1"/>
        <v>120000</v>
      </c>
      <c r="X11" s="181">
        <f t="shared" si="1"/>
        <v>0</v>
      </c>
    </row>
    <row r="12" spans="2:24" ht="16">
      <c r="B12" s="231">
        <v>4.0999999999999996</v>
      </c>
      <c r="C12" s="273"/>
      <c r="D12" s="65" t="s">
        <v>303</v>
      </c>
      <c r="E12" s="65" t="s">
        <v>313</v>
      </c>
      <c r="F12" s="66"/>
      <c r="G12" s="146" t="s">
        <v>39</v>
      </c>
      <c r="H12" s="148">
        <v>12</v>
      </c>
      <c r="I12" s="148">
        <v>12</v>
      </c>
      <c r="J12" s="148">
        <v>12</v>
      </c>
      <c r="K12" s="148">
        <v>12</v>
      </c>
      <c r="L12" s="148">
        <v>12</v>
      </c>
      <c r="M12" s="56">
        <f t="shared" si="3"/>
        <v>60</v>
      </c>
      <c r="N12" s="63">
        <v>1500</v>
      </c>
      <c r="O12" s="48">
        <f t="shared" si="4"/>
        <v>18000</v>
      </c>
      <c r="P12" s="48">
        <f t="shared" si="5"/>
        <v>18000</v>
      </c>
      <c r="Q12" s="48">
        <f t="shared" si="6"/>
        <v>18000</v>
      </c>
      <c r="R12" s="48">
        <f t="shared" si="7"/>
        <v>18000</v>
      </c>
      <c r="S12" s="48">
        <f t="shared" si="8"/>
        <v>18000</v>
      </c>
      <c r="T12" s="165">
        <f t="shared" si="9"/>
        <v>90000</v>
      </c>
      <c r="U12" s="180">
        <f t="shared" si="1"/>
        <v>0</v>
      </c>
      <c r="V12" s="173">
        <f t="shared" si="1"/>
        <v>0</v>
      </c>
      <c r="W12" s="173">
        <f t="shared" si="1"/>
        <v>90000</v>
      </c>
      <c r="X12" s="181">
        <f t="shared" si="1"/>
        <v>0</v>
      </c>
    </row>
    <row r="13" spans="2:24" ht="16">
      <c r="B13" s="231">
        <v>4.0999999999999996</v>
      </c>
      <c r="C13" s="273"/>
      <c r="D13" s="65" t="s">
        <v>304</v>
      </c>
      <c r="E13" s="65" t="s">
        <v>313</v>
      </c>
      <c r="F13" s="66"/>
      <c r="G13" s="146" t="s">
        <v>39</v>
      </c>
      <c r="H13" s="148">
        <v>6</v>
      </c>
      <c r="I13" s="148">
        <v>6</v>
      </c>
      <c r="J13" s="148">
        <v>6</v>
      </c>
      <c r="K13" s="148">
        <v>6</v>
      </c>
      <c r="L13" s="148">
        <v>6</v>
      </c>
      <c r="M13" s="56">
        <f t="shared" si="3"/>
        <v>30</v>
      </c>
      <c r="N13" s="63">
        <v>1500</v>
      </c>
      <c r="O13" s="48">
        <f t="shared" si="4"/>
        <v>9000</v>
      </c>
      <c r="P13" s="48">
        <f t="shared" si="5"/>
        <v>9000</v>
      </c>
      <c r="Q13" s="48">
        <f t="shared" si="6"/>
        <v>9000</v>
      </c>
      <c r="R13" s="48">
        <f t="shared" si="7"/>
        <v>9000</v>
      </c>
      <c r="S13" s="48">
        <f t="shared" si="8"/>
        <v>9000</v>
      </c>
      <c r="T13" s="165">
        <f t="shared" si="9"/>
        <v>45000</v>
      </c>
      <c r="U13" s="180">
        <f t="shared" si="1"/>
        <v>0</v>
      </c>
      <c r="V13" s="173">
        <f t="shared" si="1"/>
        <v>0</v>
      </c>
      <c r="W13" s="173">
        <f t="shared" si="1"/>
        <v>45000</v>
      </c>
      <c r="X13" s="181">
        <f t="shared" si="1"/>
        <v>0</v>
      </c>
    </row>
    <row r="14" spans="2:24" ht="32">
      <c r="B14" s="231">
        <v>4.0999999999999996</v>
      </c>
      <c r="C14" s="273"/>
      <c r="D14" s="65" t="s">
        <v>305</v>
      </c>
      <c r="E14" s="65" t="s">
        <v>313</v>
      </c>
      <c r="F14" s="66"/>
      <c r="G14" s="146" t="s">
        <v>39</v>
      </c>
      <c r="H14" s="148">
        <v>6</v>
      </c>
      <c r="I14" s="148">
        <v>6</v>
      </c>
      <c r="J14" s="148">
        <v>6</v>
      </c>
      <c r="K14" s="148">
        <v>6</v>
      </c>
      <c r="L14" s="148">
        <v>6</v>
      </c>
      <c r="M14" s="56">
        <f t="shared" si="3"/>
        <v>30</v>
      </c>
      <c r="N14" s="63">
        <v>3000</v>
      </c>
      <c r="O14" s="48">
        <f t="shared" si="4"/>
        <v>18000</v>
      </c>
      <c r="P14" s="48">
        <f t="shared" si="5"/>
        <v>18000</v>
      </c>
      <c r="Q14" s="48">
        <f t="shared" si="6"/>
        <v>18000</v>
      </c>
      <c r="R14" s="48">
        <f t="shared" si="7"/>
        <v>18000</v>
      </c>
      <c r="S14" s="48">
        <f t="shared" si="8"/>
        <v>18000</v>
      </c>
      <c r="T14" s="165">
        <f t="shared" si="9"/>
        <v>90000</v>
      </c>
      <c r="U14" s="180">
        <f t="shared" si="1"/>
        <v>0</v>
      </c>
      <c r="V14" s="173">
        <f t="shared" si="1"/>
        <v>0</v>
      </c>
      <c r="W14" s="173">
        <f t="shared" si="1"/>
        <v>90000</v>
      </c>
      <c r="X14" s="181">
        <f t="shared" si="1"/>
        <v>0</v>
      </c>
    </row>
    <row r="15" spans="2:24" ht="61.25" customHeight="1">
      <c r="B15" s="231">
        <v>4.0999999999999996</v>
      </c>
      <c r="C15" s="273"/>
      <c r="D15" s="65" t="s">
        <v>306</v>
      </c>
      <c r="E15" s="65" t="s">
        <v>313</v>
      </c>
      <c r="F15" s="66"/>
      <c r="G15" s="146" t="s">
        <v>39</v>
      </c>
      <c r="H15" s="148">
        <v>0.2</v>
      </c>
      <c r="I15" s="148">
        <v>0.2</v>
      </c>
      <c r="J15" s="148">
        <v>0.2</v>
      </c>
      <c r="K15" s="148">
        <v>0.2</v>
      </c>
      <c r="L15" s="148">
        <v>0.2</v>
      </c>
      <c r="M15" s="56">
        <f t="shared" si="3"/>
        <v>1</v>
      </c>
      <c r="N15" s="63">
        <v>40000</v>
      </c>
      <c r="O15" s="48">
        <f t="shared" si="4"/>
        <v>8000</v>
      </c>
      <c r="P15" s="48">
        <f t="shared" si="5"/>
        <v>8000</v>
      </c>
      <c r="Q15" s="48">
        <f t="shared" si="6"/>
        <v>8000</v>
      </c>
      <c r="R15" s="48">
        <f t="shared" si="7"/>
        <v>8000</v>
      </c>
      <c r="S15" s="48">
        <f t="shared" si="8"/>
        <v>8000</v>
      </c>
      <c r="T15" s="165">
        <f t="shared" si="9"/>
        <v>40000</v>
      </c>
      <c r="U15" s="180">
        <f t="shared" si="1"/>
        <v>0</v>
      </c>
      <c r="V15" s="173">
        <f t="shared" si="1"/>
        <v>0</v>
      </c>
      <c r="W15" s="173">
        <f t="shared" si="1"/>
        <v>40000</v>
      </c>
      <c r="X15" s="181">
        <f t="shared" si="1"/>
        <v>0</v>
      </c>
    </row>
    <row r="16" spans="2:24" ht="16">
      <c r="B16" s="231">
        <v>4.0999999999999996</v>
      </c>
      <c r="C16" s="273"/>
      <c r="D16" s="65" t="s">
        <v>307</v>
      </c>
      <c r="E16" s="65" t="s">
        <v>313</v>
      </c>
      <c r="F16" s="66"/>
      <c r="G16" s="146" t="s">
        <v>39</v>
      </c>
      <c r="H16" s="148">
        <v>5</v>
      </c>
      <c r="I16" s="148"/>
      <c r="J16" s="148"/>
      <c r="K16" s="148"/>
      <c r="L16" s="148"/>
      <c r="M16" s="56">
        <f t="shared" si="3"/>
        <v>5</v>
      </c>
      <c r="N16" s="63">
        <v>10000</v>
      </c>
      <c r="O16" s="48">
        <f t="shared" si="4"/>
        <v>50000</v>
      </c>
      <c r="P16" s="48">
        <f t="shared" si="5"/>
        <v>0</v>
      </c>
      <c r="Q16" s="48">
        <f t="shared" si="6"/>
        <v>0</v>
      </c>
      <c r="R16" s="48">
        <f t="shared" si="7"/>
        <v>0</v>
      </c>
      <c r="S16" s="48">
        <f t="shared" si="8"/>
        <v>0</v>
      </c>
      <c r="T16" s="165">
        <f t="shared" si="9"/>
        <v>50000</v>
      </c>
      <c r="U16" s="180">
        <f t="shared" si="1"/>
        <v>0</v>
      </c>
      <c r="V16" s="173">
        <f t="shared" si="1"/>
        <v>0</v>
      </c>
      <c r="W16" s="173">
        <f t="shared" si="1"/>
        <v>50000</v>
      </c>
      <c r="X16" s="181">
        <f t="shared" si="1"/>
        <v>0</v>
      </c>
    </row>
    <row r="17" spans="2:24" ht="32">
      <c r="B17" s="231">
        <v>4.0999999999999996</v>
      </c>
      <c r="C17" s="273"/>
      <c r="D17" s="65" t="s">
        <v>308</v>
      </c>
      <c r="E17" s="65" t="s">
        <v>313</v>
      </c>
      <c r="F17" s="66"/>
      <c r="G17" s="146" t="s">
        <v>39</v>
      </c>
      <c r="H17" s="148">
        <v>0.2</v>
      </c>
      <c r="I17" s="148">
        <v>0.2</v>
      </c>
      <c r="J17" s="148">
        <v>0.2</v>
      </c>
      <c r="K17" s="148">
        <v>0.2</v>
      </c>
      <c r="L17" s="148">
        <v>0.2</v>
      </c>
      <c r="M17" s="56">
        <f t="shared" si="3"/>
        <v>1</v>
      </c>
      <c r="N17" s="63">
        <v>1300000</v>
      </c>
      <c r="O17" s="48">
        <f t="shared" si="4"/>
        <v>260000</v>
      </c>
      <c r="P17" s="48">
        <f t="shared" si="5"/>
        <v>260000</v>
      </c>
      <c r="Q17" s="48">
        <f t="shared" si="6"/>
        <v>260000</v>
      </c>
      <c r="R17" s="48">
        <f t="shared" si="7"/>
        <v>260000</v>
      </c>
      <c r="S17" s="48">
        <f t="shared" si="8"/>
        <v>260000</v>
      </c>
      <c r="T17" s="165">
        <f t="shared" si="9"/>
        <v>1300000</v>
      </c>
      <c r="U17" s="180">
        <f t="shared" si="1"/>
        <v>0</v>
      </c>
      <c r="V17" s="173">
        <f t="shared" si="1"/>
        <v>0</v>
      </c>
      <c r="W17" s="173">
        <f t="shared" si="1"/>
        <v>1300000</v>
      </c>
      <c r="X17" s="181">
        <f t="shared" si="1"/>
        <v>0</v>
      </c>
    </row>
    <row r="18" spans="2:24" ht="16">
      <c r="B18" s="231">
        <v>4.0999999999999996</v>
      </c>
      <c r="C18" s="273"/>
      <c r="D18" s="65" t="s">
        <v>309</v>
      </c>
      <c r="E18" s="65" t="s">
        <v>313</v>
      </c>
      <c r="F18" s="66"/>
      <c r="G18" s="146" t="s">
        <v>39</v>
      </c>
      <c r="H18" s="148">
        <v>1</v>
      </c>
      <c r="I18" s="148">
        <v>1</v>
      </c>
      <c r="J18" s="148">
        <v>1</v>
      </c>
      <c r="K18" s="148">
        <v>1</v>
      </c>
      <c r="L18" s="148">
        <v>1</v>
      </c>
      <c r="M18" s="56">
        <f t="shared" si="3"/>
        <v>5</v>
      </c>
      <c r="N18" s="63">
        <v>23000</v>
      </c>
      <c r="O18" s="48">
        <f t="shared" si="4"/>
        <v>23000</v>
      </c>
      <c r="P18" s="48">
        <f t="shared" si="5"/>
        <v>23000</v>
      </c>
      <c r="Q18" s="48">
        <f t="shared" si="6"/>
        <v>23000</v>
      </c>
      <c r="R18" s="48">
        <f t="shared" si="7"/>
        <v>23000</v>
      </c>
      <c r="S18" s="48">
        <f t="shared" si="8"/>
        <v>23000</v>
      </c>
      <c r="T18" s="165">
        <f t="shared" si="9"/>
        <v>115000</v>
      </c>
      <c r="U18" s="180">
        <f t="shared" si="1"/>
        <v>0</v>
      </c>
      <c r="V18" s="173">
        <f t="shared" si="1"/>
        <v>0</v>
      </c>
      <c r="W18" s="173">
        <f t="shared" si="1"/>
        <v>115000</v>
      </c>
      <c r="X18" s="181">
        <f t="shared" si="1"/>
        <v>0</v>
      </c>
    </row>
    <row r="19" spans="2:24" ht="48">
      <c r="B19" s="231">
        <v>4.0999999999999996</v>
      </c>
      <c r="C19" s="273"/>
      <c r="D19" s="65" t="s">
        <v>310</v>
      </c>
      <c r="E19" s="65" t="s">
        <v>313</v>
      </c>
      <c r="F19" s="66"/>
      <c r="G19" s="146" t="s">
        <v>39</v>
      </c>
      <c r="H19" s="148">
        <v>1</v>
      </c>
      <c r="I19" s="148">
        <v>1</v>
      </c>
      <c r="J19" s="148">
        <v>1</v>
      </c>
      <c r="K19" s="148">
        <v>1</v>
      </c>
      <c r="L19" s="148">
        <v>1</v>
      </c>
      <c r="M19" s="56">
        <f t="shared" si="3"/>
        <v>5</v>
      </c>
      <c r="N19" s="63">
        <v>25000</v>
      </c>
      <c r="O19" s="48">
        <f t="shared" si="4"/>
        <v>25000</v>
      </c>
      <c r="P19" s="48">
        <f t="shared" si="5"/>
        <v>25000</v>
      </c>
      <c r="Q19" s="48">
        <f t="shared" si="6"/>
        <v>25000</v>
      </c>
      <c r="R19" s="48">
        <f t="shared" si="7"/>
        <v>25000</v>
      </c>
      <c r="S19" s="48">
        <f t="shared" si="8"/>
        <v>25000</v>
      </c>
      <c r="T19" s="165">
        <f t="shared" si="9"/>
        <v>125000</v>
      </c>
      <c r="U19" s="180">
        <f t="shared" si="1"/>
        <v>0</v>
      </c>
      <c r="V19" s="173">
        <f t="shared" si="1"/>
        <v>0</v>
      </c>
      <c r="W19" s="173">
        <f t="shared" si="1"/>
        <v>125000</v>
      </c>
      <c r="X19" s="181">
        <f t="shared" si="1"/>
        <v>0</v>
      </c>
    </row>
    <row r="20" spans="2:24" ht="48">
      <c r="B20" s="231">
        <v>4.0999999999999996</v>
      </c>
      <c r="C20" s="273"/>
      <c r="D20" s="65" t="s">
        <v>311</v>
      </c>
      <c r="E20" s="65" t="s">
        <v>313</v>
      </c>
      <c r="F20" s="66"/>
      <c r="G20" s="146" t="s">
        <v>39</v>
      </c>
      <c r="H20" s="148">
        <v>1</v>
      </c>
      <c r="I20" s="148">
        <v>1</v>
      </c>
      <c r="J20" s="148">
        <v>1</v>
      </c>
      <c r="K20" s="148">
        <v>1</v>
      </c>
      <c r="L20" s="148">
        <v>1</v>
      </c>
      <c r="M20" s="56">
        <f t="shared" si="3"/>
        <v>5</v>
      </c>
      <c r="N20" s="63">
        <v>5000</v>
      </c>
      <c r="O20" s="48">
        <f t="shared" si="4"/>
        <v>5000</v>
      </c>
      <c r="P20" s="48">
        <f t="shared" si="5"/>
        <v>5000</v>
      </c>
      <c r="Q20" s="48">
        <f t="shared" si="6"/>
        <v>5000</v>
      </c>
      <c r="R20" s="48">
        <f t="shared" si="7"/>
        <v>5000</v>
      </c>
      <c r="S20" s="48">
        <f t="shared" si="8"/>
        <v>5000</v>
      </c>
      <c r="T20" s="165">
        <f t="shared" si="9"/>
        <v>25000</v>
      </c>
      <c r="U20" s="180">
        <f t="shared" si="1"/>
        <v>0</v>
      </c>
      <c r="V20" s="173">
        <f t="shared" si="1"/>
        <v>0</v>
      </c>
      <c r="W20" s="173">
        <f t="shared" si="1"/>
        <v>25000</v>
      </c>
      <c r="X20" s="181">
        <f t="shared" si="1"/>
        <v>0</v>
      </c>
    </row>
    <row r="21" spans="2:24" ht="32">
      <c r="B21" s="231" t="s">
        <v>193</v>
      </c>
      <c r="C21" s="273"/>
      <c r="D21" s="65" t="s">
        <v>150</v>
      </c>
      <c r="E21" s="65" t="s">
        <v>313</v>
      </c>
      <c r="F21" s="66"/>
      <c r="G21" s="65" t="s">
        <v>39</v>
      </c>
      <c r="H21" s="148">
        <v>1</v>
      </c>
      <c r="I21" s="148"/>
      <c r="J21" s="148"/>
      <c r="K21" s="148"/>
      <c r="L21" s="148"/>
      <c r="M21" s="56">
        <f t="shared" ref="M21" si="10">SUM(H21:K21)</f>
        <v>1</v>
      </c>
      <c r="N21" s="63">
        <v>300000</v>
      </c>
      <c r="O21" s="48">
        <f>H21*$N21</f>
        <v>300000</v>
      </c>
      <c r="P21" s="48">
        <f>I21*$N21</f>
        <v>0</v>
      </c>
      <c r="Q21" s="48">
        <f>J21*$N21</f>
        <v>0</v>
      </c>
      <c r="R21" s="48">
        <f>K21*$N21</f>
        <v>0</v>
      </c>
      <c r="S21" s="48">
        <f>L21*$N21</f>
        <v>0</v>
      </c>
      <c r="T21" s="165">
        <f t="shared" ref="T21:T30" si="11">SUM(O21:S21)</f>
        <v>300000</v>
      </c>
      <c r="U21" s="180">
        <f t="shared" si="1"/>
        <v>0</v>
      </c>
      <c r="V21" s="173">
        <f t="shared" si="1"/>
        <v>0</v>
      </c>
      <c r="W21" s="173">
        <f t="shared" si="1"/>
        <v>300000</v>
      </c>
      <c r="X21" s="181">
        <f t="shared" si="1"/>
        <v>0</v>
      </c>
    </row>
    <row r="22" spans="2:24" ht="16">
      <c r="B22" s="231" t="s">
        <v>194</v>
      </c>
      <c r="C22" s="273"/>
      <c r="D22" s="65" t="s">
        <v>151</v>
      </c>
      <c r="E22" s="65" t="s">
        <v>313</v>
      </c>
      <c r="F22" s="66"/>
      <c r="G22" s="65" t="s">
        <v>39</v>
      </c>
      <c r="H22" s="148"/>
      <c r="I22" s="148">
        <v>1</v>
      </c>
      <c r="J22" s="148"/>
      <c r="K22" s="148"/>
      <c r="L22" s="148"/>
      <c r="M22" s="56">
        <f t="shared" ref="M22:M29" si="12">SUM(H22:K22)</f>
        <v>1</v>
      </c>
      <c r="N22" s="63">
        <v>300000</v>
      </c>
      <c r="O22" s="48">
        <f t="shared" ref="O22:O23" si="13">H22*$N22</f>
        <v>0</v>
      </c>
      <c r="P22" s="48">
        <f t="shared" ref="P22:P23" si="14">I22*$N22</f>
        <v>300000</v>
      </c>
      <c r="Q22" s="48">
        <f t="shared" ref="Q22:Q23" si="15">J22*$N22</f>
        <v>0</v>
      </c>
      <c r="R22" s="48">
        <f t="shared" ref="R22:R23" si="16">K22*$N22</f>
        <v>0</v>
      </c>
      <c r="S22" s="48">
        <f t="shared" ref="S22:S23" si="17">L22*$N22</f>
        <v>0</v>
      </c>
      <c r="T22" s="165">
        <f t="shared" si="11"/>
        <v>300000</v>
      </c>
      <c r="U22" s="180">
        <f t="shared" si="1"/>
        <v>0</v>
      </c>
      <c r="V22" s="173">
        <f t="shared" si="1"/>
        <v>0</v>
      </c>
      <c r="W22" s="173">
        <f t="shared" si="1"/>
        <v>300000</v>
      </c>
      <c r="X22" s="181">
        <f t="shared" si="1"/>
        <v>0</v>
      </c>
    </row>
    <row r="23" spans="2:24" ht="16">
      <c r="B23" s="231" t="s">
        <v>195</v>
      </c>
      <c r="C23" s="273"/>
      <c r="D23" s="65" t="s">
        <v>152</v>
      </c>
      <c r="E23" s="65" t="s">
        <v>313</v>
      </c>
      <c r="F23" s="66"/>
      <c r="G23" s="65" t="s">
        <v>39</v>
      </c>
      <c r="H23" s="148"/>
      <c r="I23" s="148">
        <v>1</v>
      </c>
      <c r="J23" s="148"/>
      <c r="K23" s="148"/>
      <c r="L23" s="148"/>
      <c r="M23" s="56">
        <f t="shared" si="12"/>
        <v>1</v>
      </c>
      <c r="N23" s="63">
        <v>50000</v>
      </c>
      <c r="O23" s="48">
        <f t="shared" si="13"/>
        <v>0</v>
      </c>
      <c r="P23" s="48">
        <f t="shared" si="14"/>
        <v>50000</v>
      </c>
      <c r="Q23" s="48">
        <f t="shared" si="15"/>
        <v>0</v>
      </c>
      <c r="R23" s="48">
        <f t="shared" si="16"/>
        <v>0</v>
      </c>
      <c r="S23" s="48">
        <f t="shared" si="17"/>
        <v>0</v>
      </c>
      <c r="T23" s="165">
        <f t="shared" si="11"/>
        <v>50000</v>
      </c>
      <c r="U23" s="180">
        <f t="shared" si="1"/>
        <v>0</v>
      </c>
      <c r="V23" s="173">
        <f t="shared" si="1"/>
        <v>0</v>
      </c>
      <c r="W23" s="173">
        <f t="shared" si="1"/>
        <v>50000</v>
      </c>
      <c r="X23" s="181">
        <f t="shared" si="1"/>
        <v>0</v>
      </c>
    </row>
    <row r="24" spans="2:24" ht="16">
      <c r="B24" s="231" t="s">
        <v>195</v>
      </c>
      <c r="C24" s="273"/>
      <c r="D24" s="65" t="s">
        <v>228</v>
      </c>
      <c r="E24" s="65" t="s">
        <v>313</v>
      </c>
      <c r="F24" s="66"/>
      <c r="G24" s="65" t="s">
        <v>39</v>
      </c>
      <c r="H24" s="148"/>
      <c r="I24" s="148">
        <v>1</v>
      </c>
      <c r="J24" s="148"/>
      <c r="K24" s="148"/>
      <c r="L24" s="148"/>
      <c r="M24" s="56">
        <f t="shared" ref="M24" si="18">SUM(H24:K24)</f>
        <v>1</v>
      </c>
      <c r="N24" s="63">
        <v>50000</v>
      </c>
      <c r="O24" s="48">
        <f t="shared" ref="O24" si="19">H24*$N24</f>
        <v>0</v>
      </c>
      <c r="P24" s="48">
        <f t="shared" ref="P24" si="20">I24*$N24</f>
        <v>50000</v>
      </c>
      <c r="Q24" s="48">
        <f t="shared" ref="Q24" si="21">J24*$N24</f>
        <v>0</v>
      </c>
      <c r="R24" s="48">
        <f t="shared" ref="R24" si="22">K24*$N24</f>
        <v>0</v>
      </c>
      <c r="S24" s="48">
        <f t="shared" ref="S24" si="23">L24*$N24</f>
        <v>0</v>
      </c>
      <c r="T24" s="165">
        <f t="shared" ref="T24" si="24">SUM(O24:S24)</f>
        <v>50000</v>
      </c>
      <c r="U24" s="180">
        <f t="shared" si="1"/>
        <v>0</v>
      </c>
      <c r="V24" s="173">
        <f t="shared" si="1"/>
        <v>0</v>
      </c>
      <c r="W24" s="173">
        <f t="shared" si="1"/>
        <v>50000</v>
      </c>
      <c r="X24" s="181">
        <f t="shared" si="1"/>
        <v>0</v>
      </c>
    </row>
    <row r="25" spans="2:24" ht="16">
      <c r="B25" s="231" t="s">
        <v>196</v>
      </c>
      <c r="C25" s="273"/>
      <c r="D25" s="65" t="s">
        <v>153</v>
      </c>
      <c r="E25" s="65" t="s">
        <v>313</v>
      </c>
      <c r="F25" s="66"/>
      <c r="G25" s="65" t="s">
        <v>39</v>
      </c>
      <c r="H25" s="148"/>
      <c r="I25" s="148"/>
      <c r="J25" s="148">
        <v>1</v>
      </c>
      <c r="K25" s="148"/>
      <c r="L25" s="148"/>
      <c r="M25" s="56">
        <f t="shared" si="12"/>
        <v>1</v>
      </c>
      <c r="N25" s="63">
        <v>150000</v>
      </c>
      <c r="O25" s="48">
        <f t="shared" ref="O25:S30" si="25">H25*$N25</f>
        <v>0</v>
      </c>
      <c r="P25" s="48">
        <f t="shared" si="25"/>
        <v>0</v>
      </c>
      <c r="Q25" s="48">
        <f t="shared" si="25"/>
        <v>150000</v>
      </c>
      <c r="R25" s="48">
        <f t="shared" si="25"/>
        <v>0</v>
      </c>
      <c r="S25" s="48">
        <f t="shared" si="25"/>
        <v>0</v>
      </c>
      <c r="T25" s="165">
        <f t="shared" si="11"/>
        <v>150000</v>
      </c>
      <c r="U25" s="180">
        <f t="shared" si="1"/>
        <v>0</v>
      </c>
      <c r="V25" s="173">
        <f t="shared" si="1"/>
        <v>0</v>
      </c>
      <c r="W25" s="173">
        <f t="shared" si="1"/>
        <v>150000</v>
      </c>
      <c r="X25" s="181">
        <f t="shared" si="1"/>
        <v>0</v>
      </c>
    </row>
    <row r="26" spans="2:24" ht="16">
      <c r="B26" s="231" t="s">
        <v>197</v>
      </c>
      <c r="C26" s="273"/>
      <c r="D26" s="76" t="s">
        <v>154</v>
      </c>
      <c r="E26" s="65" t="s">
        <v>313</v>
      </c>
      <c r="F26" s="77"/>
      <c r="G26" s="65" t="s">
        <v>39</v>
      </c>
      <c r="H26" s="148"/>
      <c r="I26" s="148"/>
      <c r="J26" s="148">
        <v>1</v>
      </c>
      <c r="K26" s="148"/>
      <c r="L26" s="148"/>
      <c r="M26" s="56">
        <f t="shared" si="12"/>
        <v>1</v>
      </c>
      <c r="N26" s="63">
        <v>150000</v>
      </c>
      <c r="O26" s="81">
        <f t="shared" si="25"/>
        <v>0</v>
      </c>
      <c r="P26" s="81">
        <f t="shared" si="25"/>
        <v>0</v>
      </c>
      <c r="Q26" s="81">
        <f t="shared" si="25"/>
        <v>150000</v>
      </c>
      <c r="R26" s="81">
        <f t="shared" si="25"/>
        <v>0</v>
      </c>
      <c r="S26" s="81">
        <f t="shared" si="25"/>
        <v>0</v>
      </c>
      <c r="T26" s="168">
        <f t="shared" si="11"/>
        <v>150000</v>
      </c>
      <c r="U26" s="180">
        <f t="shared" si="1"/>
        <v>0</v>
      </c>
      <c r="V26" s="173">
        <f t="shared" si="1"/>
        <v>0</v>
      </c>
      <c r="W26" s="173">
        <f t="shared" si="1"/>
        <v>150000</v>
      </c>
      <c r="X26" s="181">
        <f t="shared" si="1"/>
        <v>0</v>
      </c>
    </row>
    <row r="27" spans="2:24" ht="32">
      <c r="B27" s="231" t="s">
        <v>198</v>
      </c>
      <c r="C27" s="273"/>
      <c r="D27" s="65" t="s">
        <v>276</v>
      </c>
      <c r="E27" s="76" t="s">
        <v>312</v>
      </c>
      <c r="F27" s="66"/>
      <c r="G27" s="65" t="s">
        <v>39</v>
      </c>
      <c r="H27" s="148"/>
      <c r="I27" s="148"/>
      <c r="J27" s="148">
        <v>1</v>
      </c>
      <c r="K27" s="148"/>
      <c r="L27" s="148"/>
      <c r="M27" s="56">
        <f t="shared" si="12"/>
        <v>1</v>
      </c>
      <c r="N27" s="63">
        <v>400000</v>
      </c>
      <c r="O27" s="81">
        <f t="shared" si="25"/>
        <v>0</v>
      </c>
      <c r="P27" s="81">
        <f t="shared" si="25"/>
        <v>0</v>
      </c>
      <c r="Q27" s="81">
        <f t="shared" si="25"/>
        <v>400000</v>
      </c>
      <c r="R27" s="81">
        <f t="shared" si="25"/>
        <v>0</v>
      </c>
      <c r="S27" s="81">
        <f t="shared" si="25"/>
        <v>0</v>
      </c>
      <c r="T27" s="165">
        <f t="shared" ref="T27:T29" si="26">SUM(O27:S27)</f>
        <v>400000</v>
      </c>
      <c r="U27" s="180">
        <f t="shared" si="1"/>
        <v>0</v>
      </c>
      <c r="V27" s="173">
        <f t="shared" si="1"/>
        <v>400000</v>
      </c>
      <c r="W27" s="173">
        <f t="shared" si="1"/>
        <v>0</v>
      </c>
      <c r="X27" s="181">
        <f t="shared" si="1"/>
        <v>0</v>
      </c>
    </row>
    <row r="28" spans="2:24" ht="32">
      <c r="B28" s="231" t="s">
        <v>198</v>
      </c>
      <c r="C28" s="273"/>
      <c r="D28" s="65" t="s">
        <v>275</v>
      </c>
      <c r="E28" s="76" t="s">
        <v>312</v>
      </c>
      <c r="F28" s="66"/>
      <c r="G28" s="65" t="s">
        <v>39</v>
      </c>
      <c r="H28" s="148"/>
      <c r="I28" s="148"/>
      <c r="J28" s="148">
        <v>1</v>
      </c>
      <c r="K28" s="148"/>
      <c r="L28" s="148"/>
      <c r="M28" s="56">
        <f t="shared" si="12"/>
        <v>1</v>
      </c>
      <c r="N28" s="63">
        <v>400000</v>
      </c>
      <c r="O28" s="48">
        <f t="shared" si="25"/>
        <v>0</v>
      </c>
      <c r="P28" s="48">
        <f t="shared" si="25"/>
        <v>0</v>
      </c>
      <c r="Q28" s="48">
        <f t="shared" si="25"/>
        <v>400000</v>
      </c>
      <c r="R28" s="48">
        <f t="shared" si="25"/>
        <v>0</v>
      </c>
      <c r="S28" s="48">
        <f t="shared" si="25"/>
        <v>0</v>
      </c>
      <c r="T28" s="165">
        <f t="shared" si="26"/>
        <v>400000</v>
      </c>
      <c r="U28" s="180">
        <f t="shared" si="1"/>
        <v>0</v>
      </c>
      <c r="V28" s="173">
        <f t="shared" si="1"/>
        <v>400000</v>
      </c>
      <c r="W28" s="173">
        <f t="shared" si="1"/>
        <v>0</v>
      </c>
      <c r="X28" s="181">
        <f t="shared" si="1"/>
        <v>0</v>
      </c>
    </row>
    <row r="29" spans="2:24" ht="48">
      <c r="B29" s="231" t="s">
        <v>198</v>
      </c>
      <c r="C29" s="273"/>
      <c r="D29" s="76" t="s">
        <v>227</v>
      </c>
      <c r="E29" s="76" t="s">
        <v>312</v>
      </c>
      <c r="F29" s="77"/>
      <c r="G29" s="65" t="s">
        <v>39</v>
      </c>
      <c r="H29" s="148"/>
      <c r="I29" s="148"/>
      <c r="J29" s="148">
        <v>1</v>
      </c>
      <c r="K29" s="148"/>
      <c r="L29" s="148"/>
      <c r="M29" s="56">
        <f t="shared" si="12"/>
        <v>1</v>
      </c>
      <c r="N29" s="63">
        <v>400000</v>
      </c>
      <c r="O29" s="81">
        <f t="shared" si="25"/>
        <v>0</v>
      </c>
      <c r="P29" s="81">
        <f t="shared" si="25"/>
        <v>0</v>
      </c>
      <c r="Q29" s="81">
        <f t="shared" si="25"/>
        <v>400000</v>
      </c>
      <c r="R29" s="81">
        <f t="shared" si="25"/>
        <v>0</v>
      </c>
      <c r="S29" s="81">
        <f t="shared" si="25"/>
        <v>0</v>
      </c>
      <c r="T29" s="168">
        <f t="shared" si="26"/>
        <v>400000</v>
      </c>
      <c r="U29" s="180">
        <f t="shared" si="1"/>
        <v>0</v>
      </c>
      <c r="V29" s="173">
        <f t="shared" si="1"/>
        <v>400000</v>
      </c>
      <c r="W29" s="173">
        <f t="shared" si="1"/>
        <v>0</v>
      </c>
      <c r="X29" s="181">
        <f t="shared" si="1"/>
        <v>0</v>
      </c>
    </row>
    <row r="30" spans="2:24" ht="16" thickBot="1">
      <c r="C30" s="274"/>
      <c r="D30" s="67"/>
      <c r="E30" s="67"/>
      <c r="F30" s="68"/>
      <c r="G30" s="67"/>
      <c r="H30" s="52"/>
      <c r="I30" s="52"/>
      <c r="J30" s="52"/>
      <c r="K30" s="52"/>
      <c r="L30" s="52"/>
      <c r="M30" s="57">
        <f>SUM(H30:L30)</f>
        <v>0</v>
      </c>
      <c r="N30" s="64"/>
      <c r="O30" s="49">
        <f t="shared" si="25"/>
        <v>0</v>
      </c>
      <c r="P30" s="49">
        <f t="shared" si="25"/>
        <v>0</v>
      </c>
      <c r="Q30" s="49">
        <f t="shared" si="25"/>
        <v>0</v>
      </c>
      <c r="R30" s="49">
        <f t="shared" si="25"/>
        <v>0</v>
      </c>
      <c r="S30" s="49">
        <f t="shared" si="25"/>
        <v>0</v>
      </c>
      <c r="T30" s="166">
        <f t="shared" si="11"/>
        <v>0</v>
      </c>
      <c r="U30" s="182">
        <f t="shared" si="1"/>
        <v>0</v>
      </c>
      <c r="V30" s="183">
        <f t="shared" si="1"/>
        <v>0</v>
      </c>
      <c r="W30" s="183">
        <f t="shared" si="1"/>
        <v>0</v>
      </c>
      <c r="X30" s="184">
        <f t="shared" si="1"/>
        <v>0</v>
      </c>
    </row>
    <row r="31" spans="2:24" ht="16" thickBot="1">
      <c r="C31" s="16"/>
      <c r="D31" s="9"/>
      <c r="E31" s="9"/>
      <c r="F31" s="9"/>
      <c r="G31" s="9"/>
      <c r="H31" s="9"/>
      <c r="I31" s="9"/>
      <c r="J31" s="5"/>
      <c r="K31" s="5"/>
      <c r="L31" s="5"/>
      <c r="M31" s="5"/>
      <c r="N31" s="4"/>
      <c r="O31" s="39"/>
      <c r="P31" s="39"/>
      <c r="Q31" s="40"/>
      <c r="R31" s="40"/>
      <c r="S31" s="40"/>
      <c r="T31" s="41"/>
      <c r="U31" s="41"/>
      <c r="V31" s="41"/>
      <c r="W31" s="41"/>
      <c r="X31" s="41"/>
    </row>
    <row r="32" spans="2:24" s="45" customFormat="1" ht="16" thickBot="1">
      <c r="C32" s="47"/>
      <c r="D32" s="46"/>
      <c r="E32" s="46"/>
      <c r="F32" s="46"/>
      <c r="G32" s="46"/>
      <c r="H32" s="46"/>
      <c r="I32" s="46"/>
      <c r="J32" s="46"/>
      <c r="K32" s="46"/>
      <c r="L32" s="87"/>
      <c r="M32" s="88"/>
      <c r="N32" s="88" t="s">
        <v>107</v>
      </c>
      <c r="O32" s="228">
        <f>SUM(O4:O30)</f>
        <v>1085000</v>
      </c>
      <c r="P32" s="229">
        <f t="shared" ref="P32:S32" si="27">SUM(P4:P30)</f>
        <v>1135000</v>
      </c>
      <c r="Q32" s="229">
        <f t="shared" si="27"/>
        <v>2213000</v>
      </c>
      <c r="R32" s="229">
        <f t="shared" si="27"/>
        <v>702000</v>
      </c>
      <c r="S32" s="230">
        <f t="shared" si="27"/>
        <v>702000</v>
      </c>
      <c r="T32" s="227">
        <f>SUM(O32:S32)</f>
        <v>5837000</v>
      </c>
      <c r="U32" s="172">
        <f>SUM(U21:U30)</f>
        <v>0</v>
      </c>
      <c r="V32" s="172">
        <f>SUM(V21:V30)</f>
        <v>1200000</v>
      </c>
      <c r="W32" s="172">
        <f>SUM(W4:W30)</f>
        <v>4637000</v>
      </c>
      <c r="X32" s="172">
        <f>SUM(X21:X30)</f>
        <v>0</v>
      </c>
    </row>
    <row r="33" spans="2:24" s="2" customFormat="1" ht="16" thickBot="1">
      <c r="C33" s="16"/>
      <c r="D33" s="9"/>
      <c r="E33" s="9"/>
      <c r="F33" s="9"/>
      <c r="G33" s="9"/>
      <c r="H33" s="9"/>
      <c r="I33" s="9"/>
      <c r="J33" s="5"/>
      <c r="K33" s="5"/>
      <c r="L33" s="5"/>
      <c r="M33" s="5"/>
      <c r="N33" s="4"/>
      <c r="O33" s="41"/>
      <c r="P33" s="41"/>
      <c r="Q33" s="41"/>
      <c r="R33" s="41"/>
      <c r="S33" s="41"/>
      <c r="T33" s="42"/>
      <c r="U33" s="42"/>
      <c r="V33" s="42"/>
      <c r="W33" s="42"/>
      <c r="X33" s="42"/>
    </row>
    <row r="34" spans="2:24" s="71" customFormat="1" ht="44" customHeight="1">
      <c r="C34" s="75" t="s">
        <v>100</v>
      </c>
      <c r="D34" s="74" t="s">
        <v>7</v>
      </c>
      <c r="E34" s="74" t="s">
        <v>97</v>
      </c>
      <c r="F34" s="74" t="s">
        <v>98</v>
      </c>
      <c r="G34" s="74" t="s">
        <v>33</v>
      </c>
      <c r="H34" s="72">
        <v>2021</v>
      </c>
      <c r="I34" s="72">
        <v>2022</v>
      </c>
      <c r="J34" s="72">
        <v>2023</v>
      </c>
      <c r="K34" s="72">
        <v>2024</v>
      </c>
      <c r="L34" s="72">
        <v>2025</v>
      </c>
      <c r="M34" s="69" t="s">
        <v>44</v>
      </c>
      <c r="N34" s="62" t="s">
        <v>45</v>
      </c>
      <c r="O34" s="73" t="s">
        <v>73</v>
      </c>
      <c r="P34" s="73" t="s">
        <v>47</v>
      </c>
      <c r="Q34" s="73" t="s">
        <v>74</v>
      </c>
      <c r="R34" s="73" t="s">
        <v>75</v>
      </c>
      <c r="S34" s="143" t="s">
        <v>76</v>
      </c>
      <c r="T34" s="176" t="s">
        <v>4</v>
      </c>
      <c r="U34" s="185"/>
      <c r="V34" s="186"/>
      <c r="W34" s="186"/>
      <c r="X34" s="187"/>
    </row>
    <row r="35" spans="2:24" s="45" customFormat="1" ht="16">
      <c r="B35" s="232" t="s">
        <v>200</v>
      </c>
      <c r="C35" s="275" t="s">
        <v>17</v>
      </c>
      <c r="D35" s="65" t="s">
        <v>156</v>
      </c>
      <c r="E35" s="65" t="s">
        <v>313</v>
      </c>
      <c r="F35" s="66"/>
      <c r="G35" s="65" t="s">
        <v>34</v>
      </c>
      <c r="H35" s="51"/>
      <c r="I35" s="51">
        <v>0.5</v>
      </c>
      <c r="J35" s="51">
        <v>0.5</v>
      </c>
      <c r="K35" s="51"/>
      <c r="L35" s="51"/>
      <c r="M35" s="56">
        <f>SUM(H35:K35)</f>
        <v>1</v>
      </c>
      <c r="N35" s="63">
        <v>800000</v>
      </c>
      <c r="O35" s="48">
        <f>H35*$N35</f>
        <v>0</v>
      </c>
      <c r="P35" s="48">
        <f>I35*$N35</f>
        <v>400000</v>
      </c>
      <c r="Q35" s="48">
        <f>J35*$N35</f>
        <v>400000</v>
      </c>
      <c r="R35" s="48">
        <f>K35*$N35</f>
        <v>0</v>
      </c>
      <c r="S35" s="144">
        <f>L35*$N35</f>
        <v>0</v>
      </c>
      <c r="T35" s="165">
        <f>SUM(O35:S35)</f>
        <v>800000</v>
      </c>
      <c r="U35" s="180">
        <f t="shared" ref="U35:X38" si="28">IF($E35=U$2,$T35,0)</f>
        <v>0</v>
      </c>
      <c r="V35" s="173">
        <f t="shared" si="28"/>
        <v>0</v>
      </c>
      <c r="W35" s="173">
        <f t="shared" si="28"/>
        <v>800000</v>
      </c>
      <c r="X35" s="181">
        <f t="shared" si="28"/>
        <v>0</v>
      </c>
    </row>
    <row r="36" spans="2:24" s="45" customFormat="1">
      <c r="C36" s="275"/>
      <c r="D36" s="65"/>
      <c r="E36" s="65"/>
      <c r="F36" s="66"/>
      <c r="G36" s="65"/>
      <c r="H36" s="51"/>
      <c r="I36" s="51"/>
      <c r="J36" s="51"/>
      <c r="K36" s="51"/>
      <c r="L36" s="51"/>
      <c r="M36" s="56">
        <f>SUM(H36:K36)</f>
        <v>0</v>
      </c>
      <c r="N36" s="63"/>
      <c r="O36" s="48">
        <f t="shared" ref="O36:S38" si="29">H36*$N36</f>
        <v>0</v>
      </c>
      <c r="P36" s="48">
        <f t="shared" si="29"/>
        <v>0</v>
      </c>
      <c r="Q36" s="48">
        <f t="shared" si="29"/>
        <v>0</v>
      </c>
      <c r="R36" s="48">
        <f t="shared" si="29"/>
        <v>0</v>
      </c>
      <c r="S36" s="144">
        <f t="shared" si="29"/>
        <v>0</v>
      </c>
      <c r="T36" s="165">
        <f t="shared" ref="T36:T38" si="30">SUM(O36:S36)</f>
        <v>0</v>
      </c>
      <c r="U36" s="180">
        <f t="shared" si="28"/>
        <v>0</v>
      </c>
      <c r="V36" s="173">
        <f t="shared" si="28"/>
        <v>0</v>
      </c>
      <c r="W36" s="173">
        <f t="shared" si="28"/>
        <v>0</v>
      </c>
      <c r="X36" s="181">
        <f t="shared" si="28"/>
        <v>0</v>
      </c>
    </row>
    <row r="37" spans="2:24" s="45" customFormat="1">
      <c r="C37" s="275"/>
      <c r="D37" s="65"/>
      <c r="E37" s="65"/>
      <c r="F37" s="66"/>
      <c r="G37" s="65"/>
      <c r="H37" s="51"/>
      <c r="I37" s="51"/>
      <c r="J37" s="51"/>
      <c r="K37" s="51"/>
      <c r="L37" s="51"/>
      <c r="M37" s="56">
        <f t="shared" ref="M37:M38" si="31">SUM(H37:K37)</f>
        <v>0</v>
      </c>
      <c r="N37" s="63"/>
      <c r="O37" s="48">
        <f t="shared" si="29"/>
        <v>0</v>
      </c>
      <c r="P37" s="48">
        <f t="shared" si="29"/>
        <v>0</v>
      </c>
      <c r="Q37" s="48">
        <f t="shared" si="29"/>
        <v>0</v>
      </c>
      <c r="R37" s="48">
        <f t="shared" si="29"/>
        <v>0</v>
      </c>
      <c r="S37" s="144">
        <f t="shared" si="29"/>
        <v>0</v>
      </c>
      <c r="T37" s="165">
        <f t="shared" si="30"/>
        <v>0</v>
      </c>
      <c r="U37" s="180">
        <f t="shared" si="28"/>
        <v>0</v>
      </c>
      <c r="V37" s="173">
        <f t="shared" si="28"/>
        <v>0</v>
      </c>
      <c r="W37" s="173">
        <f t="shared" si="28"/>
        <v>0</v>
      </c>
      <c r="X37" s="181">
        <f t="shared" si="28"/>
        <v>0</v>
      </c>
    </row>
    <row r="38" spans="2:24" s="45" customFormat="1" ht="16" thickBot="1">
      <c r="C38" s="276"/>
      <c r="D38" s="67"/>
      <c r="E38" s="67"/>
      <c r="F38" s="68"/>
      <c r="G38" s="67"/>
      <c r="H38" s="52"/>
      <c r="I38" s="52"/>
      <c r="J38" s="52"/>
      <c r="K38" s="52"/>
      <c r="L38" s="52"/>
      <c r="M38" s="57">
        <f t="shared" si="31"/>
        <v>0</v>
      </c>
      <c r="N38" s="64"/>
      <c r="O38" s="49">
        <f t="shared" si="29"/>
        <v>0</v>
      </c>
      <c r="P38" s="49">
        <f t="shared" si="29"/>
        <v>0</v>
      </c>
      <c r="Q38" s="49">
        <f t="shared" si="29"/>
        <v>0</v>
      </c>
      <c r="R38" s="49">
        <f t="shared" si="29"/>
        <v>0</v>
      </c>
      <c r="S38" s="145">
        <f t="shared" si="29"/>
        <v>0</v>
      </c>
      <c r="T38" s="166">
        <f t="shared" si="30"/>
        <v>0</v>
      </c>
      <c r="U38" s="182">
        <f t="shared" si="28"/>
        <v>0</v>
      </c>
      <c r="V38" s="183">
        <f t="shared" si="28"/>
        <v>0</v>
      </c>
      <c r="W38" s="183">
        <f t="shared" si="28"/>
        <v>0</v>
      </c>
      <c r="X38" s="184">
        <f t="shared" si="28"/>
        <v>0</v>
      </c>
    </row>
    <row r="39" spans="2:24" s="45" customFormat="1" ht="16" thickBot="1">
      <c r="C39" s="46"/>
      <c r="D39" s="46"/>
      <c r="E39" s="46"/>
      <c r="F39" s="46"/>
      <c r="G39" s="46"/>
      <c r="H39" s="46"/>
      <c r="I39" s="46"/>
      <c r="J39" s="46"/>
      <c r="K39" s="46"/>
      <c r="L39" s="46"/>
      <c r="M39" s="46"/>
      <c r="N39" s="46"/>
      <c r="O39" s="46"/>
      <c r="P39" s="46"/>
      <c r="Q39" s="46"/>
      <c r="R39" s="46"/>
      <c r="S39" s="46"/>
      <c r="T39" s="46"/>
      <c r="U39" s="46"/>
      <c r="V39" s="46"/>
      <c r="W39" s="46"/>
      <c r="X39" s="46"/>
    </row>
    <row r="40" spans="2:24" s="45" customFormat="1" ht="16" thickBot="1">
      <c r="C40" s="47"/>
      <c r="D40" s="46"/>
      <c r="E40" s="46"/>
      <c r="F40" s="46"/>
      <c r="G40" s="46"/>
      <c r="H40" s="46"/>
      <c r="I40" s="46"/>
      <c r="J40" s="46"/>
      <c r="K40" s="46"/>
      <c r="L40" s="87"/>
      <c r="M40" s="88"/>
      <c r="N40" s="89" t="s">
        <v>105</v>
      </c>
      <c r="O40" s="83">
        <f>SUM(O35:O38)</f>
        <v>0</v>
      </c>
      <c r="P40" s="84">
        <f>SUM(P35:P38)</f>
        <v>400000</v>
      </c>
      <c r="Q40" s="84">
        <f>SUM(Q35:Q38)</f>
        <v>400000</v>
      </c>
      <c r="R40" s="84">
        <f>SUM(R35:R38)</f>
        <v>0</v>
      </c>
      <c r="S40" s="85">
        <f>SUM(S35:S38)</f>
        <v>0</v>
      </c>
      <c r="T40" s="61">
        <f>SUM(O40:S40)</f>
        <v>800000</v>
      </c>
      <c r="U40" s="172">
        <f t="shared" ref="U40:X40" si="32">SUM(U35:U38)</f>
        <v>0</v>
      </c>
      <c r="V40" s="174">
        <f t="shared" si="32"/>
        <v>0</v>
      </c>
      <c r="W40" s="174">
        <f t="shared" si="32"/>
        <v>800000</v>
      </c>
      <c r="X40" s="175">
        <f t="shared" si="32"/>
        <v>0</v>
      </c>
    </row>
    <row r="41" spans="2:24">
      <c r="C41" s="11"/>
      <c r="D41" s="2"/>
      <c r="E41" s="2"/>
      <c r="F41" s="2"/>
      <c r="G41" s="2"/>
      <c r="H41" s="2"/>
      <c r="I41" s="2"/>
      <c r="J41" s="2"/>
      <c r="K41" s="2"/>
      <c r="L41" s="2"/>
      <c r="M41" s="2"/>
      <c r="N41" s="36"/>
      <c r="O41" s="37"/>
      <c r="P41" s="37"/>
      <c r="Q41" s="37"/>
      <c r="R41" s="37"/>
      <c r="S41" s="37"/>
      <c r="T41" s="38"/>
      <c r="U41" s="38"/>
      <c r="V41" s="38"/>
      <c r="W41" s="38"/>
      <c r="X41" s="38"/>
    </row>
    <row r="42" spans="2:24" ht="16" thickBot="1">
      <c r="C42" s="9"/>
      <c r="D42" s="2"/>
      <c r="E42" s="2"/>
      <c r="F42" s="2"/>
      <c r="G42" s="2"/>
      <c r="H42" s="2"/>
      <c r="I42" s="2"/>
      <c r="J42" s="2"/>
      <c r="K42" s="2"/>
      <c r="L42" s="2"/>
      <c r="M42" s="2"/>
      <c r="N42" s="36"/>
      <c r="O42" s="37"/>
      <c r="P42" s="37"/>
      <c r="Q42" s="37"/>
      <c r="R42" s="37"/>
      <c r="S42" s="37"/>
      <c r="T42" s="38"/>
      <c r="U42" s="38"/>
      <c r="V42" s="38"/>
      <c r="W42" s="38"/>
      <c r="X42" s="38"/>
    </row>
    <row r="43" spans="2:24" s="71" customFormat="1" ht="48">
      <c r="C43" s="75" t="s">
        <v>100</v>
      </c>
      <c r="D43" s="74" t="s">
        <v>7</v>
      </c>
      <c r="E43" s="74" t="str">
        <f>E34</f>
        <v>Fin.
AFD, EU, GCF, GVNT</v>
      </c>
      <c r="F43" s="74" t="str">
        <f>F34</f>
        <v>Durée de vie (an)</v>
      </c>
      <c r="G43" s="74" t="s">
        <v>33</v>
      </c>
      <c r="H43" s="72">
        <v>2021</v>
      </c>
      <c r="I43" s="72">
        <v>2022</v>
      </c>
      <c r="J43" s="72">
        <v>2023</v>
      </c>
      <c r="K43" s="72">
        <v>2024</v>
      </c>
      <c r="L43" s="72">
        <v>2025</v>
      </c>
      <c r="M43" s="69" t="s">
        <v>44</v>
      </c>
      <c r="N43" s="62" t="s">
        <v>45</v>
      </c>
      <c r="O43" s="73" t="s">
        <v>73</v>
      </c>
      <c r="P43" s="73" t="s">
        <v>47</v>
      </c>
      <c r="Q43" s="73" t="s">
        <v>74</v>
      </c>
      <c r="R43" s="73" t="s">
        <v>75</v>
      </c>
      <c r="S43" s="73" t="s">
        <v>76</v>
      </c>
      <c r="T43" s="176" t="s">
        <v>5</v>
      </c>
      <c r="U43" s="185"/>
      <c r="V43" s="186"/>
      <c r="W43" s="186"/>
      <c r="X43" s="187"/>
    </row>
    <row r="44" spans="2:24" ht="16">
      <c r="B44" s="231" t="s">
        <v>201</v>
      </c>
      <c r="C44" s="277" t="s">
        <v>13</v>
      </c>
      <c r="D44" s="65" t="s">
        <v>155</v>
      </c>
      <c r="E44" s="65" t="s">
        <v>313</v>
      </c>
      <c r="F44" s="66">
        <v>10</v>
      </c>
      <c r="G44" s="65" t="s">
        <v>263</v>
      </c>
      <c r="H44" s="51">
        <v>0.5</v>
      </c>
      <c r="I44" s="51">
        <v>0.5</v>
      </c>
      <c r="J44" s="51"/>
      <c r="K44" s="51"/>
      <c r="L44" s="51"/>
      <c r="M44" s="56">
        <f>SUM(H44:L44)</f>
        <v>1</v>
      </c>
      <c r="N44" s="63">
        <v>700000</v>
      </c>
      <c r="O44" s="48">
        <f>H44*$N44</f>
        <v>350000</v>
      </c>
      <c r="P44" s="48">
        <f>I44*$N44</f>
        <v>350000</v>
      </c>
      <c r="Q44" s="48">
        <f>J44*$N44</f>
        <v>0</v>
      </c>
      <c r="R44" s="48">
        <f>K44*$N44</f>
        <v>0</v>
      </c>
      <c r="S44" s="48">
        <f>L44*$N44</f>
        <v>0</v>
      </c>
      <c r="T44" s="165">
        <f>SUM(O44:S44)</f>
        <v>700000</v>
      </c>
      <c r="U44" s="180">
        <f t="shared" ref="U44:X55" si="33">IF($E44=U$2,$T44,0)</f>
        <v>0</v>
      </c>
      <c r="V44" s="173">
        <f t="shared" si="33"/>
        <v>0</v>
      </c>
      <c r="W44" s="173">
        <f t="shared" si="33"/>
        <v>700000</v>
      </c>
      <c r="X44" s="181">
        <f t="shared" si="33"/>
        <v>0</v>
      </c>
    </row>
    <row r="45" spans="2:24" ht="32">
      <c r="B45" s="231" t="s">
        <v>202</v>
      </c>
      <c r="C45" s="273"/>
      <c r="D45" s="65" t="s">
        <v>264</v>
      </c>
      <c r="E45" s="65" t="s">
        <v>313</v>
      </c>
      <c r="F45" s="66">
        <v>10</v>
      </c>
      <c r="G45" s="65" t="s">
        <v>39</v>
      </c>
      <c r="H45" s="51">
        <v>0.5</v>
      </c>
      <c r="I45" s="51">
        <v>0.5</v>
      </c>
      <c r="J45" s="51"/>
      <c r="K45" s="51"/>
      <c r="L45" s="51"/>
      <c r="M45" s="56">
        <f t="shared" ref="M45:M55" si="34">SUM(H45:L45)</f>
        <v>1</v>
      </c>
      <c r="N45" s="63">
        <v>500000</v>
      </c>
      <c r="O45" s="48">
        <f t="shared" ref="O45:S55" si="35">H45*$N45</f>
        <v>250000</v>
      </c>
      <c r="P45" s="48">
        <f t="shared" si="35"/>
        <v>250000</v>
      </c>
      <c r="Q45" s="48">
        <f t="shared" si="35"/>
        <v>0</v>
      </c>
      <c r="R45" s="48">
        <f t="shared" si="35"/>
        <v>0</v>
      </c>
      <c r="S45" s="48">
        <f t="shared" si="35"/>
        <v>0</v>
      </c>
      <c r="T45" s="165">
        <f t="shared" ref="T45:T55" si="36">SUM(O45:S45)</f>
        <v>500000</v>
      </c>
      <c r="U45" s="180">
        <f t="shared" si="33"/>
        <v>0</v>
      </c>
      <c r="V45" s="173">
        <f t="shared" si="33"/>
        <v>0</v>
      </c>
      <c r="W45" s="173">
        <f t="shared" si="33"/>
        <v>500000</v>
      </c>
      <c r="X45" s="181">
        <f t="shared" si="33"/>
        <v>0</v>
      </c>
    </row>
    <row r="46" spans="2:24" ht="32">
      <c r="B46" s="231" t="s">
        <v>211</v>
      </c>
      <c r="C46" s="273"/>
      <c r="D46" s="65" t="s">
        <v>267</v>
      </c>
      <c r="E46" s="65" t="s">
        <v>313</v>
      </c>
      <c r="F46" s="66">
        <v>10</v>
      </c>
      <c r="G46" s="65" t="s">
        <v>39</v>
      </c>
      <c r="H46" s="51">
        <v>0.5</v>
      </c>
      <c r="I46" s="51">
        <v>0.3</v>
      </c>
      <c r="J46" s="51">
        <v>0.2</v>
      </c>
      <c r="K46" s="51"/>
      <c r="L46" s="51"/>
      <c r="M46" s="56">
        <f t="shared" si="34"/>
        <v>1</v>
      </c>
      <c r="N46" s="63">
        <v>700000</v>
      </c>
      <c r="O46" s="48">
        <f t="shared" si="35"/>
        <v>350000</v>
      </c>
      <c r="P46" s="48">
        <f t="shared" si="35"/>
        <v>210000</v>
      </c>
      <c r="Q46" s="48">
        <f t="shared" si="35"/>
        <v>140000</v>
      </c>
      <c r="R46" s="48">
        <f t="shared" si="35"/>
        <v>0</v>
      </c>
      <c r="S46" s="48">
        <f t="shared" si="35"/>
        <v>0</v>
      </c>
      <c r="T46" s="165">
        <f t="shared" si="36"/>
        <v>700000</v>
      </c>
      <c r="U46" s="180">
        <f t="shared" si="33"/>
        <v>0</v>
      </c>
      <c r="V46" s="173">
        <f t="shared" si="33"/>
        <v>0</v>
      </c>
      <c r="W46" s="173">
        <f t="shared" si="33"/>
        <v>700000</v>
      </c>
      <c r="X46" s="181">
        <f t="shared" si="33"/>
        <v>0</v>
      </c>
    </row>
    <row r="47" spans="2:24" ht="33" customHeight="1">
      <c r="B47" s="231" t="s">
        <v>210</v>
      </c>
      <c r="C47" s="273"/>
      <c r="D47" s="65" t="s">
        <v>265</v>
      </c>
      <c r="E47" s="65" t="s">
        <v>313</v>
      </c>
      <c r="F47" s="66">
        <v>10</v>
      </c>
      <c r="G47" s="65" t="s">
        <v>39</v>
      </c>
      <c r="H47" s="51"/>
      <c r="I47" s="51">
        <v>0.5</v>
      </c>
      <c r="J47" s="51">
        <v>0.3</v>
      </c>
      <c r="K47" s="51">
        <v>0.2</v>
      </c>
      <c r="L47" s="51"/>
      <c r="M47" s="56">
        <f t="shared" si="34"/>
        <v>1</v>
      </c>
      <c r="N47" s="63">
        <v>500000</v>
      </c>
      <c r="O47" s="48">
        <f t="shared" si="35"/>
        <v>0</v>
      </c>
      <c r="P47" s="48">
        <f t="shared" si="35"/>
        <v>250000</v>
      </c>
      <c r="Q47" s="48">
        <f t="shared" si="35"/>
        <v>150000</v>
      </c>
      <c r="R47" s="48">
        <f t="shared" si="35"/>
        <v>100000</v>
      </c>
      <c r="S47" s="48">
        <f t="shared" si="35"/>
        <v>0</v>
      </c>
      <c r="T47" s="165">
        <f t="shared" si="36"/>
        <v>500000</v>
      </c>
      <c r="U47" s="180">
        <f t="shared" si="33"/>
        <v>0</v>
      </c>
      <c r="V47" s="173">
        <f t="shared" si="33"/>
        <v>0</v>
      </c>
      <c r="W47" s="173">
        <f t="shared" si="33"/>
        <v>500000</v>
      </c>
      <c r="X47" s="181">
        <f t="shared" si="33"/>
        <v>0</v>
      </c>
    </row>
    <row r="48" spans="2:24" ht="48">
      <c r="B48" s="231" t="s">
        <v>268</v>
      </c>
      <c r="C48" s="273"/>
      <c r="D48" s="65" t="s">
        <v>266</v>
      </c>
      <c r="E48" s="65" t="s">
        <v>313</v>
      </c>
      <c r="F48" s="66">
        <v>10</v>
      </c>
      <c r="G48" s="65" t="s">
        <v>39</v>
      </c>
      <c r="H48" s="51">
        <v>0.5</v>
      </c>
      <c r="I48" s="51">
        <v>0.3</v>
      </c>
      <c r="J48" s="51">
        <v>0.2</v>
      </c>
      <c r="K48" s="51"/>
      <c r="L48" s="51"/>
      <c r="M48" s="56">
        <f t="shared" si="34"/>
        <v>1</v>
      </c>
      <c r="N48" s="63">
        <v>500000</v>
      </c>
      <c r="O48" s="48">
        <f t="shared" si="35"/>
        <v>250000</v>
      </c>
      <c r="P48" s="48">
        <f t="shared" si="35"/>
        <v>150000</v>
      </c>
      <c r="Q48" s="48">
        <f t="shared" si="35"/>
        <v>100000</v>
      </c>
      <c r="R48" s="48">
        <f t="shared" si="35"/>
        <v>0</v>
      </c>
      <c r="S48" s="48">
        <f t="shared" si="35"/>
        <v>0</v>
      </c>
      <c r="T48" s="165">
        <f t="shared" si="36"/>
        <v>500000</v>
      </c>
      <c r="U48" s="180">
        <f t="shared" si="33"/>
        <v>0</v>
      </c>
      <c r="V48" s="173">
        <f t="shared" si="33"/>
        <v>0</v>
      </c>
      <c r="W48" s="173">
        <f t="shared" si="33"/>
        <v>500000</v>
      </c>
      <c r="X48" s="181">
        <f t="shared" si="33"/>
        <v>0</v>
      </c>
    </row>
    <row r="49" spans="2:24">
      <c r="C49" s="273"/>
      <c r="D49" s="65"/>
      <c r="E49" s="65"/>
      <c r="F49" s="66"/>
      <c r="G49" s="65"/>
      <c r="H49" s="51"/>
      <c r="I49" s="51"/>
      <c r="J49" s="51"/>
      <c r="K49" s="51"/>
      <c r="L49" s="51"/>
      <c r="M49" s="56">
        <f t="shared" si="34"/>
        <v>0</v>
      </c>
      <c r="N49" s="63"/>
      <c r="O49" s="48">
        <f t="shared" si="35"/>
        <v>0</v>
      </c>
      <c r="P49" s="48">
        <f t="shared" si="35"/>
        <v>0</v>
      </c>
      <c r="Q49" s="48">
        <f t="shared" si="35"/>
        <v>0</v>
      </c>
      <c r="R49" s="48">
        <f t="shared" si="35"/>
        <v>0</v>
      </c>
      <c r="S49" s="48">
        <f t="shared" si="35"/>
        <v>0</v>
      </c>
      <c r="T49" s="165">
        <f t="shared" si="36"/>
        <v>0</v>
      </c>
      <c r="U49" s="180">
        <f t="shared" si="33"/>
        <v>0</v>
      </c>
      <c r="V49" s="173">
        <f t="shared" si="33"/>
        <v>0</v>
      </c>
      <c r="W49" s="173">
        <f t="shared" si="33"/>
        <v>0</v>
      </c>
      <c r="X49" s="181">
        <f t="shared" si="33"/>
        <v>0</v>
      </c>
    </row>
    <row r="50" spans="2:24">
      <c r="C50" s="273"/>
      <c r="D50" s="65"/>
      <c r="E50" s="65"/>
      <c r="F50" s="66"/>
      <c r="G50" s="65"/>
      <c r="H50" s="51"/>
      <c r="I50" s="51"/>
      <c r="J50" s="51"/>
      <c r="K50" s="51"/>
      <c r="L50" s="51"/>
      <c r="M50" s="56">
        <f t="shared" si="34"/>
        <v>0</v>
      </c>
      <c r="N50" s="63"/>
      <c r="O50" s="48">
        <f t="shared" si="35"/>
        <v>0</v>
      </c>
      <c r="P50" s="48">
        <f t="shared" si="35"/>
        <v>0</v>
      </c>
      <c r="Q50" s="48">
        <f t="shared" si="35"/>
        <v>0</v>
      </c>
      <c r="R50" s="48">
        <f t="shared" si="35"/>
        <v>0</v>
      </c>
      <c r="S50" s="48">
        <f t="shared" si="35"/>
        <v>0</v>
      </c>
      <c r="T50" s="165">
        <f t="shared" si="36"/>
        <v>0</v>
      </c>
      <c r="U50" s="180">
        <f t="shared" si="33"/>
        <v>0</v>
      </c>
      <c r="V50" s="173">
        <f t="shared" si="33"/>
        <v>0</v>
      </c>
      <c r="W50" s="173">
        <f t="shared" si="33"/>
        <v>0</v>
      </c>
      <c r="X50" s="181">
        <f t="shared" si="33"/>
        <v>0</v>
      </c>
    </row>
    <row r="51" spans="2:24">
      <c r="C51" s="273"/>
      <c r="D51" s="65"/>
      <c r="E51" s="65"/>
      <c r="F51" s="66"/>
      <c r="G51" s="65"/>
      <c r="H51" s="51"/>
      <c r="I51" s="51"/>
      <c r="J51" s="51"/>
      <c r="K51" s="51"/>
      <c r="L51" s="51"/>
      <c r="M51" s="56">
        <f t="shared" si="34"/>
        <v>0</v>
      </c>
      <c r="N51" s="63"/>
      <c r="O51" s="48">
        <f t="shared" si="35"/>
        <v>0</v>
      </c>
      <c r="P51" s="48">
        <f t="shared" si="35"/>
        <v>0</v>
      </c>
      <c r="Q51" s="48">
        <f t="shared" si="35"/>
        <v>0</v>
      </c>
      <c r="R51" s="48">
        <f t="shared" si="35"/>
        <v>0</v>
      </c>
      <c r="S51" s="48">
        <f t="shared" si="35"/>
        <v>0</v>
      </c>
      <c r="T51" s="165">
        <f t="shared" si="36"/>
        <v>0</v>
      </c>
      <c r="U51" s="180">
        <f t="shared" si="33"/>
        <v>0</v>
      </c>
      <c r="V51" s="173">
        <f t="shared" si="33"/>
        <v>0</v>
      </c>
      <c r="W51" s="173">
        <f t="shared" si="33"/>
        <v>0</v>
      </c>
      <c r="X51" s="181">
        <f t="shared" si="33"/>
        <v>0</v>
      </c>
    </row>
    <row r="52" spans="2:24">
      <c r="C52" s="273"/>
      <c r="D52" s="65"/>
      <c r="E52" s="65"/>
      <c r="F52" s="66"/>
      <c r="G52" s="65"/>
      <c r="H52" s="51"/>
      <c r="I52" s="51"/>
      <c r="J52" s="51"/>
      <c r="K52" s="51"/>
      <c r="L52" s="51"/>
      <c r="M52" s="56">
        <f t="shared" si="34"/>
        <v>0</v>
      </c>
      <c r="N52" s="63"/>
      <c r="O52" s="48">
        <f t="shared" si="35"/>
        <v>0</v>
      </c>
      <c r="P52" s="48">
        <f t="shared" si="35"/>
        <v>0</v>
      </c>
      <c r="Q52" s="48">
        <f t="shared" si="35"/>
        <v>0</v>
      </c>
      <c r="R52" s="48">
        <f t="shared" si="35"/>
        <v>0</v>
      </c>
      <c r="S52" s="48">
        <f t="shared" si="35"/>
        <v>0</v>
      </c>
      <c r="T52" s="165">
        <f t="shared" si="36"/>
        <v>0</v>
      </c>
      <c r="U52" s="180">
        <f t="shared" si="33"/>
        <v>0</v>
      </c>
      <c r="V52" s="173">
        <f t="shared" si="33"/>
        <v>0</v>
      </c>
      <c r="W52" s="173">
        <f t="shared" si="33"/>
        <v>0</v>
      </c>
      <c r="X52" s="181">
        <f t="shared" si="33"/>
        <v>0</v>
      </c>
    </row>
    <row r="53" spans="2:24">
      <c r="C53" s="273"/>
      <c r="D53" s="65"/>
      <c r="E53" s="65"/>
      <c r="F53" s="66"/>
      <c r="G53" s="65"/>
      <c r="H53" s="51"/>
      <c r="I53" s="51"/>
      <c r="J53" s="51"/>
      <c r="K53" s="51"/>
      <c r="L53" s="51"/>
      <c r="M53" s="56">
        <f t="shared" si="34"/>
        <v>0</v>
      </c>
      <c r="N53" s="63"/>
      <c r="O53" s="48">
        <f t="shared" si="35"/>
        <v>0</v>
      </c>
      <c r="P53" s="48">
        <f t="shared" si="35"/>
        <v>0</v>
      </c>
      <c r="Q53" s="48">
        <f t="shared" si="35"/>
        <v>0</v>
      </c>
      <c r="R53" s="48">
        <f t="shared" si="35"/>
        <v>0</v>
      </c>
      <c r="S53" s="48">
        <f t="shared" si="35"/>
        <v>0</v>
      </c>
      <c r="T53" s="165">
        <f t="shared" si="36"/>
        <v>0</v>
      </c>
      <c r="U53" s="180">
        <f t="shared" si="33"/>
        <v>0</v>
      </c>
      <c r="V53" s="173">
        <f t="shared" si="33"/>
        <v>0</v>
      </c>
      <c r="W53" s="173">
        <f t="shared" si="33"/>
        <v>0</v>
      </c>
      <c r="X53" s="181">
        <f t="shared" si="33"/>
        <v>0</v>
      </c>
    </row>
    <row r="54" spans="2:24">
      <c r="C54" s="273"/>
      <c r="D54" s="65"/>
      <c r="E54" s="65"/>
      <c r="F54" s="66"/>
      <c r="G54" s="65"/>
      <c r="H54" s="51"/>
      <c r="I54" s="51"/>
      <c r="J54" s="51"/>
      <c r="K54" s="51"/>
      <c r="L54" s="51"/>
      <c r="M54" s="56">
        <f t="shared" si="34"/>
        <v>0</v>
      </c>
      <c r="N54" s="63"/>
      <c r="O54" s="48">
        <f t="shared" si="35"/>
        <v>0</v>
      </c>
      <c r="P54" s="48">
        <f t="shared" si="35"/>
        <v>0</v>
      </c>
      <c r="Q54" s="48">
        <f t="shared" si="35"/>
        <v>0</v>
      </c>
      <c r="R54" s="48">
        <f t="shared" si="35"/>
        <v>0</v>
      </c>
      <c r="S54" s="48">
        <f t="shared" si="35"/>
        <v>0</v>
      </c>
      <c r="T54" s="165">
        <f t="shared" si="36"/>
        <v>0</v>
      </c>
      <c r="U54" s="180">
        <f t="shared" si="33"/>
        <v>0</v>
      </c>
      <c r="V54" s="173">
        <f t="shared" si="33"/>
        <v>0</v>
      </c>
      <c r="W54" s="173">
        <f t="shared" si="33"/>
        <v>0</v>
      </c>
      <c r="X54" s="181">
        <f t="shared" si="33"/>
        <v>0</v>
      </c>
    </row>
    <row r="55" spans="2:24" ht="16" thickBot="1">
      <c r="C55" s="274"/>
      <c r="D55" s="67"/>
      <c r="E55" s="67"/>
      <c r="F55" s="68"/>
      <c r="G55" s="67"/>
      <c r="H55" s="52"/>
      <c r="I55" s="52"/>
      <c r="J55" s="52"/>
      <c r="K55" s="52"/>
      <c r="L55" s="52"/>
      <c r="M55" s="57">
        <f t="shared" si="34"/>
        <v>0</v>
      </c>
      <c r="N55" s="64"/>
      <c r="O55" s="49">
        <f t="shared" si="35"/>
        <v>0</v>
      </c>
      <c r="P55" s="49">
        <f t="shared" si="35"/>
        <v>0</v>
      </c>
      <c r="Q55" s="49">
        <f t="shared" si="35"/>
        <v>0</v>
      </c>
      <c r="R55" s="49">
        <f t="shared" si="35"/>
        <v>0</v>
      </c>
      <c r="S55" s="49">
        <f t="shared" si="35"/>
        <v>0</v>
      </c>
      <c r="T55" s="166">
        <f t="shared" si="36"/>
        <v>0</v>
      </c>
      <c r="U55" s="182">
        <f t="shared" si="33"/>
        <v>0</v>
      </c>
      <c r="V55" s="183">
        <f t="shared" si="33"/>
        <v>0</v>
      </c>
      <c r="W55" s="183">
        <f t="shared" si="33"/>
        <v>0</v>
      </c>
      <c r="X55" s="184">
        <f t="shared" si="33"/>
        <v>0</v>
      </c>
    </row>
    <row r="56" spans="2:24" ht="16" thickBot="1">
      <c r="C56" s="9"/>
      <c r="D56" s="9"/>
      <c r="E56" s="9"/>
      <c r="F56" s="9"/>
      <c r="G56" s="9"/>
      <c r="H56" s="9"/>
      <c r="I56" s="9"/>
      <c r="J56" s="9"/>
      <c r="K56" s="9"/>
      <c r="L56" s="9"/>
      <c r="M56" s="9"/>
      <c r="N56" s="37"/>
      <c r="O56" s="37"/>
      <c r="P56" s="37"/>
      <c r="Q56" s="37"/>
      <c r="R56" s="37"/>
      <c r="S56" s="37"/>
      <c r="T56" s="37"/>
      <c r="U56" s="37"/>
      <c r="V56" s="37"/>
      <c r="W56" s="37"/>
      <c r="X56" s="37"/>
    </row>
    <row r="57" spans="2:24" s="45" customFormat="1" ht="16" thickBot="1">
      <c r="C57" s="47"/>
      <c r="D57" s="46"/>
      <c r="E57" s="46"/>
      <c r="F57" s="46"/>
      <c r="G57" s="46"/>
      <c r="H57" s="46"/>
      <c r="I57" s="46"/>
      <c r="J57" s="46"/>
      <c r="K57" s="46"/>
      <c r="L57" s="87"/>
      <c r="M57" s="88"/>
      <c r="N57" s="89" t="s">
        <v>106</v>
      </c>
      <c r="O57" s="83">
        <f>SUM(O44:O55)</f>
        <v>1200000</v>
      </c>
      <c r="P57" s="84">
        <f t="shared" ref="P57:S57" si="37">SUM(P44:P55)</f>
        <v>1210000</v>
      </c>
      <c r="Q57" s="84">
        <f t="shared" si="37"/>
        <v>390000</v>
      </c>
      <c r="R57" s="84">
        <f t="shared" si="37"/>
        <v>100000</v>
      </c>
      <c r="S57" s="85">
        <f t="shared" si="37"/>
        <v>0</v>
      </c>
      <c r="T57" s="61">
        <f>SUM(O57:S57)</f>
        <v>2900000</v>
      </c>
      <c r="U57" s="172">
        <f>SUM(U44:U55)</f>
        <v>0</v>
      </c>
      <c r="V57" s="174">
        <f t="shared" ref="V57:X57" si="38">SUM(V44:V55)</f>
        <v>0</v>
      </c>
      <c r="W57" s="174">
        <f t="shared" si="38"/>
        <v>2900000</v>
      </c>
      <c r="X57" s="175">
        <f t="shared" si="38"/>
        <v>0</v>
      </c>
    </row>
    <row r="58" spans="2:24">
      <c r="C58" s="9"/>
      <c r="D58" s="9"/>
      <c r="E58" s="9"/>
      <c r="F58" s="9"/>
      <c r="G58" s="9"/>
      <c r="H58" s="9"/>
      <c r="I58" s="9"/>
      <c r="J58" s="9"/>
      <c r="K58" s="9"/>
      <c r="L58" s="9"/>
      <c r="M58" s="9"/>
      <c r="N58" s="9"/>
      <c r="O58" s="3"/>
      <c r="P58" s="3"/>
      <c r="Q58" s="3"/>
      <c r="R58" s="3"/>
      <c r="S58" s="3"/>
      <c r="T58" s="12"/>
      <c r="U58" s="12"/>
      <c r="V58" s="12"/>
      <c r="W58" s="12"/>
      <c r="X58" s="12"/>
    </row>
    <row r="59" spans="2:24">
      <c r="C59" s="9"/>
      <c r="D59" s="9"/>
      <c r="E59" s="9"/>
      <c r="F59" s="9"/>
      <c r="G59" s="9"/>
      <c r="H59" s="9"/>
      <c r="I59" s="9"/>
      <c r="J59" s="9"/>
      <c r="K59" s="9"/>
      <c r="L59" s="9"/>
      <c r="M59" s="9"/>
      <c r="N59" s="9"/>
      <c r="O59" s="3"/>
      <c r="P59" s="3"/>
      <c r="Q59" s="3"/>
      <c r="R59" s="3"/>
      <c r="S59" s="3"/>
      <c r="T59" s="12"/>
      <c r="U59" s="12"/>
      <c r="V59" s="12"/>
      <c r="W59" s="12"/>
      <c r="X59" s="12"/>
    </row>
    <row r="60" spans="2:24" ht="16" thickBot="1">
      <c r="C60" s="16"/>
      <c r="D60" s="9"/>
      <c r="E60" s="9"/>
      <c r="F60" s="9"/>
      <c r="G60" s="9"/>
      <c r="H60" s="9"/>
      <c r="I60" s="9"/>
      <c r="J60" s="5"/>
      <c r="K60" s="5"/>
      <c r="L60" s="5"/>
      <c r="M60" s="5"/>
      <c r="N60" s="4"/>
      <c r="O60" s="41"/>
      <c r="P60" s="41"/>
      <c r="Q60" s="41"/>
      <c r="R60" s="41"/>
      <c r="S60" s="41"/>
      <c r="T60" s="42"/>
      <c r="U60" s="42"/>
      <c r="V60" s="42"/>
      <c r="W60" s="42"/>
      <c r="X60" s="42"/>
    </row>
    <row r="61" spans="2:24" s="71" customFormat="1" ht="48">
      <c r="C61" s="75" t="s">
        <v>101</v>
      </c>
      <c r="D61" s="74" t="s">
        <v>7</v>
      </c>
      <c r="E61" s="74" t="str">
        <f>E34</f>
        <v>Fin.
AFD, EU, GCF, GVNT</v>
      </c>
      <c r="F61" s="74" t="str">
        <f>F34</f>
        <v>Durée de vie (an)</v>
      </c>
      <c r="G61" s="74" t="s">
        <v>33</v>
      </c>
      <c r="H61" s="72">
        <v>2021</v>
      </c>
      <c r="I61" s="72">
        <v>2022</v>
      </c>
      <c r="J61" s="72">
        <v>2023</v>
      </c>
      <c r="K61" s="72">
        <v>2024</v>
      </c>
      <c r="L61" s="72">
        <v>2025</v>
      </c>
      <c r="M61" s="69" t="s">
        <v>44</v>
      </c>
      <c r="N61" s="62" t="s">
        <v>45</v>
      </c>
      <c r="O61" s="73" t="s">
        <v>9</v>
      </c>
      <c r="P61" s="73" t="s">
        <v>10</v>
      </c>
      <c r="Q61" s="73" t="s">
        <v>11</v>
      </c>
      <c r="R61" s="73" t="s">
        <v>12</v>
      </c>
      <c r="S61" s="73" t="s">
        <v>47</v>
      </c>
      <c r="T61" s="176" t="s">
        <v>28</v>
      </c>
      <c r="U61" s="185"/>
      <c r="V61" s="186"/>
      <c r="W61" s="186"/>
      <c r="X61" s="187"/>
    </row>
    <row r="62" spans="2:24" ht="16">
      <c r="B62" s="231" t="s">
        <v>209</v>
      </c>
      <c r="C62" s="277"/>
      <c r="D62" s="65" t="s">
        <v>229</v>
      </c>
      <c r="E62" s="65"/>
      <c r="F62" s="66"/>
      <c r="G62" s="65"/>
      <c r="H62" s="51"/>
      <c r="I62" s="51"/>
      <c r="J62" s="51"/>
      <c r="K62" s="51"/>
      <c r="L62" s="51"/>
      <c r="M62" s="56">
        <f t="shared" ref="M62:M67" si="39">SUM(H62:L62)</f>
        <v>0</v>
      </c>
      <c r="N62" s="63">
        <v>300000</v>
      </c>
      <c r="O62" s="48">
        <f>H62*$N62</f>
        <v>0</v>
      </c>
      <c r="P62" s="48">
        <f>I62*$N62</f>
        <v>0</v>
      </c>
      <c r="Q62" s="48">
        <f>J62*$N62</f>
        <v>0</v>
      </c>
      <c r="R62" s="48">
        <f>K62*$N62</f>
        <v>0</v>
      </c>
      <c r="S62" s="48">
        <f>L62*$N62</f>
        <v>0</v>
      </c>
      <c r="T62" s="165">
        <f>SUM(O62:S62)</f>
        <v>0</v>
      </c>
      <c r="U62" s="180">
        <f t="shared" ref="U62:X68" si="40">IF($E62=U$2,$T62,0)</f>
        <v>0</v>
      </c>
      <c r="V62" s="173">
        <f t="shared" si="40"/>
        <v>0</v>
      </c>
      <c r="W62" s="173">
        <f t="shared" si="40"/>
        <v>0</v>
      </c>
      <c r="X62" s="181">
        <f t="shared" si="40"/>
        <v>0</v>
      </c>
    </row>
    <row r="63" spans="2:24">
      <c r="C63" s="273"/>
      <c r="D63" s="76"/>
      <c r="E63" s="76"/>
      <c r="F63" s="77"/>
      <c r="G63" s="76"/>
      <c r="H63" s="78"/>
      <c r="I63" s="78"/>
      <c r="J63" s="78"/>
      <c r="K63" s="78"/>
      <c r="L63" s="78"/>
      <c r="M63" s="79">
        <f t="shared" si="39"/>
        <v>0</v>
      </c>
      <c r="N63" s="80">
        <v>15000</v>
      </c>
      <c r="O63" s="81">
        <f t="shared" ref="O63:S68" si="41">H63*$N63</f>
        <v>0</v>
      </c>
      <c r="P63" s="81">
        <f t="shared" si="41"/>
        <v>0</v>
      </c>
      <c r="Q63" s="81">
        <f t="shared" si="41"/>
        <v>0</v>
      </c>
      <c r="R63" s="81">
        <f t="shared" si="41"/>
        <v>0</v>
      </c>
      <c r="S63" s="81">
        <f t="shared" si="41"/>
        <v>0</v>
      </c>
      <c r="T63" s="168">
        <f t="shared" ref="T63:T68" si="42">SUM(O63:S63)</f>
        <v>0</v>
      </c>
      <c r="U63" s="180">
        <f t="shared" si="40"/>
        <v>0</v>
      </c>
      <c r="V63" s="173">
        <f t="shared" si="40"/>
        <v>0</v>
      </c>
      <c r="W63" s="173">
        <f t="shared" si="40"/>
        <v>0</v>
      </c>
      <c r="X63" s="181">
        <f t="shared" si="40"/>
        <v>0</v>
      </c>
    </row>
    <row r="64" spans="2:24">
      <c r="C64" s="273"/>
      <c r="D64" s="76"/>
      <c r="E64" s="76"/>
      <c r="F64" s="77"/>
      <c r="G64" s="76"/>
      <c r="H64" s="78"/>
      <c r="I64" s="78"/>
      <c r="J64" s="78"/>
      <c r="K64" s="78"/>
      <c r="L64" s="78"/>
      <c r="M64" s="79">
        <f t="shared" si="39"/>
        <v>0</v>
      </c>
      <c r="N64" s="80">
        <v>5000</v>
      </c>
      <c r="O64" s="81">
        <f t="shared" si="41"/>
        <v>0</v>
      </c>
      <c r="P64" s="81">
        <f t="shared" si="41"/>
        <v>0</v>
      </c>
      <c r="Q64" s="81">
        <f t="shared" si="41"/>
        <v>0</v>
      </c>
      <c r="R64" s="81">
        <f t="shared" si="41"/>
        <v>0</v>
      </c>
      <c r="S64" s="81">
        <f t="shared" si="41"/>
        <v>0</v>
      </c>
      <c r="T64" s="168">
        <f t="shared" si="42"/>
        <v>0</v>
      </c>
      <c r="U64" s="180">
        <f t="shared" si="40"/>
        <v>0</v>
      </c>
      <c r="V64" s="173">
        <f t="shared" si="40"/>
        <v>0</v>
      </c>
      <c r="W64" s="173">
        <f t="shared" si="40"/>
        <v>0</v>
      </c>
      <c r="X64" s="181">
        <f t="shared" si="40"/>
        <v>0</v>
      </c>
    </row>
    <row r="65" spans="2:24">
      <c r="C65" s="273"/>
      <c r="D65" s="76"/>
      <c r="E65" s="76"/>
      <c r="F65" s="77"/>
      <c r="G65" s="76"/>
      <c r="H65" s="78"/>
      <c r="I65" s="78"/>
      <c r="J65" s="78"/>
      <c r="K65" s="78"/>
      <c r="L65" s="78"/>
      <c r="M65" s="79">
        <f t="shared" si="39"/>
        <v>0</v>
      </c>
      <c r="N65" s="80">
        <v>20000</v>
      </c>
      <c r="O65" s="81">
        <f t="shared" si="41"/>
        <v>0</v>
      </c>
      <c r="P65" s="81">
        <f t="shared" si="41"/>
        <v>0</v>
      </c>
      <c r="Q65" s="81">
        <f t="shared" si="41"/>
        <v>0</v>
      </c>
      <c r="R65" s="81">
        <f t="shared" si="41"/>
        <v>0</v>
      </c>
      <c r="S65" s="81">
        <f t="shared" si="41"/>
        <v>0</v>
      </c>
      <c r="T65" s="168">
        <f t="shared" si="42"/>
        <v>0</v>
      </c>
      <c r="U65" s="180">
        <f t="shared" si="40"/>
        <v>0</v>
      </c>
      <c r="V65" s="173">
        <f t="shared" si="40"/>
        <v>0</v>
      </c>
      <c r="W65" s="173">
        <f t="shared" si="40"/>
        <v>0</v>
      </c>
      <c r="X65" s="181">
        <f t="shared" si="40"/>
        <v>0</v>
      </c>
    </row>
    <row r="66" spans="2:24">
      <c r="C66" s="273"/>
      <c r="D66" s="76"/>
      <c r="E66" s="76"/>
      <c r="F66" s="77"/>
      <c r="G66" s="76"/>
      <c r="H66" s="78"/>
      <c r="I66" s="78"/>
      <c r="J66" s="78"/>
      <c r="K66" s="78"/>
      <c r="L66" s="78"/>
      <c r="M66" s="79">
        <f t="shared" si="39"/>
        <v>0</v>
      </c>
      <c r="N66" s="80">
        <v>300000</v>
      </c>
      <c r="O66" s="81">
        <f t="shared" si="41"/>
        <v>0</v>
      </c>
      <c r="P66" s="81">
        <f t="shared" si="41"/>
        <v>0</v>
      </c>
      <c r="Q66" s="81">
        <f t="shared" si="41"/>
        <v>0</v>
      </c>
      <c r="R66" s="81">
        <f t="shared" si="41"/>
        <v>0</v>
      </c>
      <c r="S66" s="81">
        <f t="shared" si="41"/>
        <v>0</v>
      </c>
      <c r="T66" s="168">
        <f t="shared" si="42"/>
        <v>0</v>
      </c>
      <c r="U66" s="180">
        <f t="shared" si="40"/>
        <v>0</v>
      </c>
      <c r="V66" s="173">
        <f t="shared" si="40"/>
        <v>0</v>
      </c>
      <c r="W66" s="173">
        <f t="shared" si="40"/>
        <v>0</v>
      </c>
      <c r="X66" s="181">
        <f t="shared" si="40"/>
        <v>0</v>
      </c>
    </row>
    <row r="67" spans="2:24">
      <c r="C67" s="273"/>
      <c r="D67" s="76"/>
      <c r="E67" s="76"/>
      <c r="F67" s="77"/>
      <c r="G67" s="76"/>
      <c r="H67" s="78"/>
      <c r="I67" s="78"/>
      <c r="J67" s="78"/>
      <c r="K67" s="78"/>
      <c r="L67" s="78"/>
      <c r="M67" s="79">
        <f t="shared" si="39"/>
        <v>0</v>
      </c>
      <c r="N67" s="80">
        <v>300000</v>
      </c>
      <c r="O67" s="81">
        <f t="shared" si="41"/>
        <v>0</v>
      </c>
      <c r="P67" s="81">
        <f t="shared" si="41"/>
        <v>0</v>
      </c>
      <c r="Q67" s="81">
        <f t="shared" si="41"/>
        <v>0</v>
      </c>
      <c r="R67" s="81">
        <f t="shared" si="41"/>
        <v>0</v>
      </c>
      <c r="S67" s="81">
        <f t="shared" si="41"/>
        <v>0</v>
      </c>
      <c r="T67" s="168">
        <f t="shared" si="42"/>
        <v>0</v>
      </c>
      <c r="U67" s="180">
        <f t="shared" si="40"/>
        <v>0</v>
      </c>
      <c r="V67" s="173">
        <f t="shared" si="40"/>
        <v>0</v>
      </c>
      <c r="W67" s="173">
        <f t="shared" si="40"/>
        <v>0</v>
      </c>
      <c r="X67" s="181">
        <f t="shared" si="40"/>
        <v>0</v>
      </c>
    </row>
    <row r="68" spans="2:24" ht="16" thickBot="1">
      <c r="C68" s="274"/>
      <c r="D68" s="67"/>
      <c r="E68" s="67"/>
      <c r="F68" s="68"/>
      <c r="G68" s="67"/>
      <c r="H68" s="52"/>
      <c r="I68" s="52"/>
      <c r="J68" s="52"/>
      <c r="K68" s="52"/>
      <c r="L68" s="52"/>
      <c r="M68" s="57">
        <f>SUM(H68:L68)</f>
        <v>0</v>
      </c>
      <c r="N68" s="64">
        <v>300000</v>
      </c>
      <c r="O68" s="49">
        <f t="shared" si="41"/>
        <v>0</v>
      </c>
      <c r="P68" s="49">
        <f t="shared" si="41"/>
        <v>0</v>
      </c>
      <c r="Q68" s="49">
        <f t="shared" si="41"/>
        <v>0</v>
      </c>
      <c r="R68" s="49">
        <f t="shared" si="41"/>
        <v>0</v>
      </c>
      <c r="S68" s="49">
        <f t="shared" si="41"/>
        <v>0</v>
      </c>
      <c r="T68" s="166">
        <f t="shared" si="42"/>
        <v>0</v>
      </c>
      <c r="U68" s="182">
        <f t="shared" si="40"/>
        <v>0</v>
      </c>
      <c r="V68" s="183">
        <f t="shared" si="40"/>
        <v>0</v>
      </c>
      <c r="W68" s="183">
        <f t="shared" si="40"/>
        <v>0</v>
      </c>
      <c r="X68" s="184">
        <f t="shared" si="40"/>
        <v>0</v>
      </c>
    </row>
    <row r="69" spans="2:24" ht="16" thickBot="1">
      <c r="C69" s="16"/>
      <c r="D69" s="9"/>
      <c r="E69" s="9"/>
      <c r="F69" s="9"/>
      <c r="G69" s="9"/>
      <c r="H69" s="9"/>
      <c r="I69" s="9"/>
      <c r="J69" s="5"/>
      <c r="K69" s="5"/>
      <c r="L69" s="5"/>
      <c r="M69" s="5"/>
      <c r="N69" s="4"/>
      <c r="O69" s="39"/>
      <c r="P69" s="39"/>
      <c r="Q69" s="40"/>
      <c r="R69" s="40"/>
      <c r="S69" s="40"/>
      <c r="T69" s="41"/>
      <c r="U69" s="41"/>
      <c r="V69" s="41"/>
      <c r="W69" s="41"/>
      <c r="X69" s="41"/>
    </row>
    <row r="70" spans="2:24" s="45" customFormat="1" ht="16" thickBot="1">
      <c r="C70" s="47"/>
      <c r="D70" s="46"/>
      <c r="E70" s="46"/>
      <c r="F70" s="46"/>
      <c r="G70" s="46"/>
      <c r="H70" s="46"/>
      <c r="I70" s="46"/>
      <c r="J70" s="46"/>
      <c r="K70" s="46"/>
      <c r="L70" s="87"/>
      <c r="M70" s="88"/>
      <c r="N70" s="89" t="s">
        <v>108</v>
      </c>
      <c r="O70" s="83">
        <f>SUM(O62:O68)</f>
        <v>0</v>
      </c>
      <c r="P70" s="84">
        <f>SUM(P62:P68)</f>
        <v>0</v>
      </c>
      <c r="Q70" s="84">
        <f>SUM(Q62:Q68)</f>
        <v>0</v>
      </c>
      <c r="R70" s="84">
        <f>SUM(R62:R68)</f>
        <v>0</v>
      </c>
      <c r="S70" s="85">
        <f>SUM(S62:S68)</f>
        <v>0</v>
      </c>
      <c r="T70" s="61">
        <f>SUM(O70:S70)</f>
        <v>0</v>
      </c>
      <c r="U70" s="172">
        <f>SUM(U62:U68)</f>
        <v>0</v>
      </c>
      <c r="V70" s="174">
        <f t="shared" ref="V70:X70" si="43">SUM(V62:V68)</f>
        <v>0</v>
      </c>
      <c r="W70" s="174">
        <f t="shared" si="43"/>
        <v>0</v>
      </c>
      <c r="X70" s="175">
        <f t="shared" si="43"/>
        <v>0</v>
      </c>
    </row>
    <row r="71" spans="2:24" s="2" customFormat="1">
      <c r="C71" s="16"/>
      <c r="D71" s="9"/>
      <c r="E71" s="9"/>
      <c r="F71" s="9"/>
      <c r="G71" s="9"/>
      <c r="H71" s="9"/>
      <c r="I71" s="9"/>
      <c r="J71" s="5"/>
      <c r="K71" s="5"/>
      <c r="L71" s="5"/>
      <c r="M71" s="5"/>
      <c r="N71" s="4"/>
      <c r="O71" s="41"/>
      <c r="P71" s="41"/>
      <c r="Q71" s="41"/>
      <c r="R71" s="41"/>
      <c r="S71" s="41"/>
      <c r="T71" s="42"/>
      <c r="U71" s="42"/>
      <c r="V71" s="42"/>
      <c r="W71" s="42"/>
      <c r="X71" s="42"/>
    </row>
    <row r="72" spans="2:24" ht="16" thickBot="1">
      <c r="C72" s="16"/>
      <c r="D72" s="9"/>
      <c r="E72" s="9"/>
      <c r="F72" s="9"/>
      <c r="G72" s="9"/>
      <c r="H72" s="9"/>
      <c r="I72" s="9"/>
      <c r="J72" s="5"/>
      <c r="K72" s="5"/>
      <c r="L72" s="5"/>
      <c r="M72" s="5"/>
      <c r="N72" s="4"/>
      <c r="O72" s="41"/>
      <c r="P72" s="41"/>
      <c r="Q72" s="41"/>
      <c r="R72" s="41"/>
      <c r="S72" s="41"/>
      <c r="T72" s="42"/>
      <c r="U72" s="42"/>
      <c r="V72" s="42"/>
      <c r="W72" s="42"/>
      <c r="X72" s="42"/>
    </row>
    <row r="73" spans="2:24" s="71" customFormat="1" ht="48">
      <c r="C73" s="75" t="s">
        <v>101</v>
      </c>
      <c r="D73" s="74" t="s">
        <v>7</v>
      </c>
      <c r="E73" s="74" t="str">
        <f>E34</f>
        <v>Fin.
AFD, EU, GCF, GVNT</v>
      </c>
      <c r="F73" s="74" t="str">
        <f>F34</f>
        <v>Durée de vie (an)</v>
      </c>
      <c r="G73" s="74" t="s">
        <v>33</v>
      </c>
      <c r="H73" s="72">
        <v>2021</v>
      </c>
      <c r="I73" s="72">
        <v>2022</v>
      </c>
      <c r="J73" s="72">
        <v>2023</v>
      </c>
      <c r="K73" s="72">
        <v>2024</v>
      </c>
      <c r="L73" s="72">
        <v>2025</v>
      </c>
      <c r="M73" s="69" t="s">
        <v>44</v>
      </c>
      <c r="N73" s="62" t="s">
        <v>45</v>
      </c>
      <c r="O73" s="73" t="s">
        <v>9</v>
      </c>
      <c r="P73" s="73" t="s">
        <v>10</v>
      </c>
      <c r="Q73" s="73" t="s">
        <v>11</v>
      </c>
      <c r="R73" s="73" t="s">
        <v>12</v>
      </c>
      <c r="S73" s="73" t="s">
        <v>47</v>
      </c>
      <c r="T73" s="176" t="s">
        <v>28</v>
      </c>
      <c r="U73" s="185"/>
      <c r="V73" s="186"/>
      <c r="W73" s="186"/>
      <c r="X73" s="187"/>
    </row>
    <row r="74" spans="2:24" ht="32">
      <c r="B74" s="231" t="s">
        <v>204</v>
      </c>
      <c r="C74" s="277" t="s">
        <v>49</v>
      </c>
      <c r="D74" s="65" t="s">
        <v>157</v>
      </c>
      <c r="E74" s="65" t="s">
        <v>313</v>
      </c>
      <c r="F74" s="66"/>
      <c r="G74" s="65"/>
      <c r="H74" s="51">
        <v>0.3</v>
      </c>
      <c r="I74" s="51">
        <v>0.4</v>
      </c>
      <c r="J74" s="51">
        <v>0.3</v>
      </c>
      <c r="K74" s="51"/>
      <c r="L74" s="51"/>
      <c r="M74" s="139">
        <f>SUM(H74:L74)</f>
        <v>1</v>
      </c>
      <c r="N74" s="63">
        <v>2500000</v>
      </c>
      <c r="O74" s="48">
        <f t="shared" ref="O74:S74" si="44">H74*$N74</f>
        <v>750000</v>
      </c>
      <c r="P74" s="48">
        <f t="shared" si="44"/>
        <v>1000000</v>
      </c>
      <c r="Q74" s="48">
        <f t="shared" si="44"/>
        <v>750000</v>
      </c>
      <c r="R74" s="48">
        <f t="shared" si="44"/>
        <v>0</v>
      </c>
      <c r="S74" s="48">
        <f t="shared" si="44"/>
        <v>0</v>
      </c>
      <c r="T74" s="165">
        <f>SUM(O74:S74)</f>
        <v>2500000</v>
      </c>
      <c r="U74" s="180">
        <f t="shared" ref="U74:X78" si="45">IF($E74=U$2,$T74,0)</f>
        <v>0</v>
      </c>
      <c r="V74" s="173">
        <f t="shared" si="45"/>
        <v>0</v>
      </c>
      <c r="W74" s="173">
        <f t="shared" si="45"/>
        <v>2500000</v>
      </c>
      <c r="X74" s="181">
        <f t="shared" si="45"/>
        <v>0</v>
      </c>
    </row>
    <row r="75" spans="2:24" ht="16">
      <c r="B75" s="231" t="s">
        <v>203</v>
      </c>
      <c r="C75" s="273"/>
      <c r="D75" s="76" t="s">
        <v>158</v>
      </c>
      <c r="E75" s="65" t="s">
        <v>313</v>
      </c>
      <c r="F75" s="77"/>
      <c r="G75" s="76"/>
      <c r="H75" s="78">
        <v>0.2</v>
      </c>
      <c r="I75" s="78">
        <v>0.2</v>
      </c>
      <c r="J75" s="78">
        <v>0.2</v>
      </c>
      <c r="K75" s="78">
        <v>0.2</v>
      </c>
      <c r="L75" s="78">
        <v>0.2</v>
      </c>
      <c r="M75" s="139">
        <f t="shared" ref="M75:M77" si="46">SUM(H75:L75)</f>
        <v>1</v>
      </c>
      <c r="N75" s="80">
        <v>400000</v>
      </c>
      <c r="O75" s="81">
        <f t="shared" ref="O75:S78" si="47">H75*$N75</f>
        <v>80000</v>
      </c>
      <c r="P75" s="81">
        <f t="shared" si="47"/>
        <v>80000</v>
      </c>
      <c r="Q75" s="81">
        <f t="shared" si="47"/>
        <v>80000</v>
      </c>
      <c r="R75" s="81">
        <f t="shared" si="47"/>
        <v>80000</v>
      </c>
      <c r="S75" s="81">
        <f t="shared" si="47"/>
        <v>80000</v>
      </c>
      <c r="T75" s="168">
        <f t="shared" ref="T75:T78" si="48">SUM(O75:S75)</f>
        <v>400000</v>
      </c>
      <c r="U75" s="180">
        <f t="shared" si="45"/>
        <v>0</v>
      </c>
      <c r="V75" s="173">
        <f t="shared" si="45"/>
        <v>0</v>
      </c>
      <c r="W75" s="173">
        <f t="shared" si="45"/>
        <v>400000</v>
      </c>
      <c r="X75" s="181">
        <f t="shared" si="45"/>
        <v>0</v>
      </c>
    </row>
    <row r="76" spans="2:24" ht="32">
      <c r="B76" s="231" t="s">
        <v>203</v>
      </c>
      <c r="C76" s="273"/>
      <c r="D76" s="76" t="s">
        <v>159</v>
      </c>
      <c r="E76" s="65" t="s">
        <v>313</v>
      </c>
      <c r="F76" s="77"/>
      <c r="G76" s="76"/>
      <c r="H76" s="78"/>
      <c r="I76" s="78"/>
      <c r="J76" s="137"/>
      <c r="K76" s="137">
        <v>1</v>
      </c>
      <c r="L76" s="78"/>
      <c r="M76" s="139">
        <f t="shared" si="46"/>
        <v>1</v>
      </c>
      <c r="N76" s="80">
        <v>500000</v>
      </c>
      <c r="O76" s="81">
        <f t="shared" si="47"/>
        <v>0</v>
      </c>
      <c r="P76" s="81">
        <f t="shared" si="47"/>
        <v>0</v>
      </c>
      <c r="Q76" s="81">
        <f t="shared" si="47"/>
        <v>0</v>
      </c>
      <c r="R76" s="81">
        <f t="shared" si="47"/>
        <v>500000</v>
      </c>
      <c r="S76" s="81">
        <f t="shared" si="47"/>
        <v>0</v>
      </c>
      <c r="T76" s="168">
        <f t="shared" si="48"/>
        <v>500000</v>
      </c>
      <c r="U76" s="180">
        <f t="shared" si="45"/>
        <v>0</v>
      </c>
      <c r="V76" s="173">
        <f t="shared" si="45"/>
        <v>0</v>
      </c>
      <c r="W76" s="173">
        <f t="shared" si="45"/>
        <v>500000</v>
      </c>
      <c r="X76" s="181">
        <f t="shared" si="45"/>
        <v>0</v>
      </c>
    </row>
    <row r="77" spans="2:24">
      <c r="C77" s="273"/>
      <c r="D77" s="76"/>
      <c r="E77" s="76"/>
      <c r="F77" s="77"/>
      <c r="G77" s="76"/>
      <c r="H77" s="78"/>
      <c r="I77" s="78"/>
      <c r="J77" s="137"/>
      <c r="K77" s="78"/>
      <c r="L77" s="137"/>
      <c r="M77" s="139">
        <f t="shared" si="46"/>
        <v>0</v>
      </c>
      <c r="N77" s="80">
        <v>150000</v>
      </c>
      <c r="O77" s="81">
        <f t="shared" si="47"/>
        <v>0</v>
      </c>
      <c r="P77" s="81">
        <f t="shared" si="47"/>
        <v>0</v>
      </c>
      <c r="Q77" s="81">
        <f t="shared" si="47"/>
        <v>0</v>
      </c>
      <c r="R77" s="81">
        <f t="shared" si="47"/>
        <v>0</v>
      </c>
      <c r="S77" s="81">
        <f t="shared" si="47"/>
        <v>0</v>
      </c>
      <c r="T77" s="168">
        <f t="shared" si="48"/>
        <v>0</v>
      </c>
      <c r="U77" s="180">
        <f t="shared" si="45"/>
        <v>0</v>
      </c>
      <c r="V77" s="173">
        <f t="shared" si="45"/>
        <v>0</v>
      </c>
      <c r="W77" s="173">
        <f t="shared" si="45"/>
        <v>0</v>
      </c>
      <c r="X77" s="181">
        <f t="shared" si="45"/>
        <v>0</v>
      </c>
    </row>
    <row r="78" spans="2:24" ht="16" thickBot="1">
      <c r="C78" s="274"/>
      <c r="D78" s="67"/>
      <c r="E78" s="67"/>
      <c r="F78" s="68"/>
      <c r="G78" s="67"/>
      <c r="H78" s="52"/>
      <c r="I78" s="52"/>
      <c r="J78" s="52"/>
      <c r="K78" s="138"/>
      <c r="L78" s="52"/>
      <c r="M78" s="140">
        <f>SUM(H78:L78)</f>
        <v>0</v>
      </c>
      <c r="N78" s="64">
        <v>150000</v>
      </c>
      <c r="O78" s="49">
        <f t="shared" si="47"/>
        <v>0</v>
      </c>
      <c r="P78" s="49">
        <f t="shared" si="47"/>
        <v>0</v>
      </c>
      <c r="Q78" s="49">
        <f t="shared" si="47"/>
        <v>0</v>
      </c>
      <c r="R78" s="49">
        <f t="shared" si="47"/>
        <v>0</v>
      </c>
      <c r="S78" s="49">
        <f t="shared" si="47"/>
        <v>0</v>
      </c>
      <c r="T78" s="166">
        <f t="shared" si="48"/>
        <v>0</v>
      </c>
      <c r="U78" s="182">
        <f t="shared" si="45"/>
        <v>0</v>
      </c>
      <c r="V78" s="183">
        <f t="shared" si="45"/>
        <v>0</v>
      </c>
      <c r="W78" s="183">
        <f t="shared" si="45"/>
        <v>0</v>
      </c>
      <c r="X78" s="184">
        <f t="shared" si="45"/>
        <v>0</v>
      </c>
    </row>
    <row r="79" spans="2:24" ht="16" thickBot="1">
      <c r="C79" s="16"/>
      <c r="D79" s="9"/>
      <c r="E79" s="9"/>
      <c r="F79" s="9"/>
      <c r="G79" s="9"/>
      <c r="H79" s="9"/>
      <c r="I79" s="9"/>
      <c r="J79" s="5"/>
      <c r="K79" s="5"/>
      <c r="L79" s="5"/>
      <c r="M79" s="5"/>
      <c r="N79" s="4"/>
      <c r="O79" s="39"/>
      <c r="P79" s="39"/>
      <c r="Q79" s="40"/>
      <c r="R79" s="40"/>
      <c r="S79" s="40"/>
      <c r="T79" s="41"/>
      <c r="U79" s="41"/>
      <c r="V79" s="41"/>
      <c r="W79" s="41"/>
      <c r="X79" s="41"/>
    </row>
    <row r="80" spans="2:24" s="45" customFormat="1" ht="16" thickBot="1">
      <c r="C80" s="47"/>
      <c r="D80" s="46"/>
      <c r="E80" s="46"/>
      <c r="F80" s="46"/>
      <c r="G80" s="46"/>
      <c r="H80" s="46"/>
      <c r="I80" s="46"/>
      <c r="J80" s="46"/>
      <c r="K80" s="46"/>
      <c r="L80" s="87"/>
      <c r="M80" s="88"/>
      <c r="N80" s="89" t="s">
        <v>109</v>
      </c>
      <c r="O80" s="83">
        <f>SUM(O74:O78)</f>
        <v>830000</v>
      </c>
      <c r="P80" s="84">
        <f>SUM(P74:P78)</f>
        <v>1080000</v>
      </c>
      <c r="Q80" s="84">
        <f>SUM(Q74:Q78)</f>
        <v>830000</v>
      </c>
      <c r="R80" s="84">
        <f>SUM(R74:R78)</f>
        <v>580000</v>
      </c>
      <c r="S80" s="85">
        <f>SUM(S74:S78)</f>
        <v>80000</v>
      </c>
      <c r="T80" s="61">
        <f>SUM(O80:S80)</f>
        <v>3400000</v>
      </c>
      <c r="U80" s="172">
        <f>SUM(U74:U78)</f>
        <v>0</v>
      </c>
      <c r="V80" s="174">
        <f>SUM(V74:V78)</f>
        <v>0</v>
      </c>
      <c r="W80" s="174">
        <f>SUM(W74:W78)</f>
        <v>3400000</v>
      </c>
      <c r="X80" s="175">
        <f>SUM(X74:X78)</f>
        <v>0</v>
      </c>
    </row>
    <row r="81" spans="2:24" s="2" customFormat="1">
      <c r="C81" s="16"/>
      <c r="D81" s="9"/>
      <c r="E81" s="9"/>
      <c r="F81" s="9"/>
      <c r="G81" s="9"/>
      <c r="H81" s="9"/>
      <c r="I81" s="9"/>
      <c r="J81" s="5"/>
      <c r="K81" s="5"/>
      <c r="L81" s="5"/>
      <c r="M81" s="5"/>
      <c r="N81" s="4"/>
      <c r="O81" s="41"/>
      <c r="P81" s="41"/>
      <c r="Q81" s="41"/>
      <c r="R81" s="41"/>
      <c r="S81" s="41"/>
      <c r="T81" s="42"/>
      <c r="U81" s="42"/>
      <c r="V81" s="42"/>
      <c r="W81" s="42"/>
      <c r="X81" s="42"/>
    </row>
    <row r="82" spans="2:24">
      <c r="C82" s="16"/>
      <c r="D82" s="9"/>
      <c r="E82" s="9"/>
      <c r="F82" s="9"/>
      <c r="G82" s="9"/>
      <c r="H82" s="9"/>
      <c r="I82" s="9"/>
      <c r="J82" s="5"/>
      <c r="K82" s="5"/>
      <c r="L82" s="5"/>
      <c r="M82" s="5"/>
      <c r="N82" s="4"/>
      <c r="O82" s="41"/>
      <c r="P82" s="41"/>
      <c r="Q82" s="41"/>
      <c r="R82" s="41"/>
      <c r="S82" s="41"/>
      <c r="T82" s="42"/>
      <c r="U82" s="42"/>
      <c r="V82" s="42"/>
      <c r="W82" s="42"/>
      <c r="X82" s="42"/>
    </row>
    <row r="83" spans="2:24" ht="16" thickBot="1">
      <c r="C83" s="16"/>
      <c r="D83" s="9"/>
      <c r="E83" s="9"/>
      <c r="F83" s="9"/>
      <c r="G83" s="9"/>
      <c r="H83" s="9"/>
      <c r="I83" s="9"/>
      <c r="J83" s="5"/>
      <c r="K83" s="5"/>
      <c r="L83" s="5"/>
      <c r="M83" s="5"/>
      <c r="N83" s="4"/>
      <c r="O83" s="41"/>
      <c r="P83" s="41"/>
      <c r="Q83" s="41"/>
      <c r="R83" s="41"/>
      <c r="S83" s="41"/>
      <c r="T83" s="42"/>
      <c r="U83" s="42"/>
      <c r="V83" s="42"/>
      <c r="W83" s="42"/>
      <c r="X83" s="42"/>
    </row>
    <row r="84" spans="2:24" ht="33" thickBot="1">
      <c r="C84" s="91"/>
      <c r="D84" s="92"/>
      <c r="E84" s="92"/>
      <c r="F84" s="92"/>
      <c r="G84" s="92"/>
      <c r="H84" s="92"/>
      <c r="I84" s="92"/>
      <c r="J84" s="93"/>
      <c r="K84" s="93"/>
      <c r="L84" s="93"/>
      <c r="M84" s="93"/>
      <c r="N84" s="94"/>
      <c r="O84" s="100" t="s">
        <v>73</v>
      </c>
      <c r="P84" s="100" t="s">
        <v>47</v>
      </c>
      <c r="Q84" s="100" t="s">
        <v>74</v>
      </c>
      <c r="R84" s="100" t="s">
        <v>75</v>
      </c>
      <c r="S84" s="101" t="s">
        <v>76</v>
      </c>
      <c r="T84" s="105" t="s">
        <v>63</v>
      </c>
      <c r="U84" s="169"/>
      <c r="V84" s="169"/>
      <c r="W84" s="169"/>
      <c r="X84" s="169"/>
    </row>
    <row r="85" spans="2:24" s="45" customFormat="1" ht="16" thickBot="1">
      <c r="C85" s="95"/>
      <c r="D85" s="96"/>
      <c r="E85" s="96"/>
      <c r="F85" s="96"/>
      <c r="G85" s="96"/>
      <c r="H85" s="96"/>
      <c r="I85" s="96"/>
      <c r="J85" s="96"/>
      <c r="K85" s="96"/>
      <c r="L85" s="90"/>
      <c r="M85" s="97"/>
      <c r="N85" s="98" t="s">
        <v>110</v>
      </c>
      <c r="O85" s="102">
        <f>O80+O70+O32+O57+O40</f>
        <v>3115000</v>
      </c>
      <c r="P85" s="102">
        <f>P80+P70+P32+P57+P40</f>
        <v>3825000</v>
      </c>
      <c r="Q85" s="102">
        <f>Q80+Q70+Q32+Q57+Q40</f>
        <v>3833000</v>
      </c>
      <c r="R85" s="102">
        <f>R80+R70+R32+R57+R40</f>
        <v>1382000</v>
      </c>
      <c r="S85" s="102">
        <f>S80+S70+S32+S57+S40</f>
        <v>782000</v>
      </c>
      <c r="T85" s="99">
        <f>SUM(O85:S85)</f>
        <v>12937000</v>
      </c>
      <c r="U85" s="172">
        <f>SUM(U80,U70,U32,U57,U40)</f>
        <v>0</v>
      </c>
      <c r="V85" s="174">
        <f>SUM(V80,V70,V32,V57,V40)</f>
        <v>1200000</v>
      </c>
      <c r="W85" s="174">
        <f>SUM(W80,W70,W32,W57,W40)</f>
        <v>11737000</v>
      </c>
      <c r="X85" s="175">
        <f>SUM(X80,X70,X32,X57,X40)</f>
        <v>0</v>
      </c>
    </row>
    <row r="86" spans="2:24">
      <c r="C86" s="2"/>
      <c r="D86" s="2"/>
      <c r="E86" s="2"/>
      <c r="F86" s="2"/>
      <c r="G86" s="2"/>
      <c r="H86" s="2"/>
      <c r="I86" s="2"/>
      <c r="J86" s="5"/>
      <c r="K86" s="5"/>
      <c r="L86" s="5"/>
      <c r="M86" s="5"/>
      <c r="N86" s="4"/>
      <c r="O86" s="39"/>
      <c r="P86" s="39"/>
      <c r="Q86" s="39"/>
      <c r="R86" s="39"/>
      <c r="S86" s="39"/>
      <c r="T86" s="39"/>
      <c r="U86" s="39"/>
      <c r="V86" s="39"/>
      <c r="W86" s="39"/>
      <c r="X86" s="39"/>
    </row>
    <row r="87" spans="2:24" ht="16" thickBot="1">
      <c r="C87" s="2"/>
      <c r="D87" s="2"/>
      <c r="E87" s="2"/>
      <c r="F87" s="2"/>
      <c r="G87" s="2"/>
      <c r="H87" s="2"/>
      <c r="I87" s="2"/>
      <c r="J87" s="5"/>
      <c r="K87" s="5"/>
      <c r="L87" s="5"/>
      <c r="M87" s="5"/>
      <c r="N87" s="4"/>
      <c r="O87" s="39"/>
      <c r="P87" s="39"/>
      <c r="Q87" s="39"/>
      <c r="R87" s="39"/>
      <c r="S87" s="39"/>
      <c r="T87" s="39"/>
      <c r="U87" s="39"/>
      <c r="V87" s="39"/>
      <c r="W87" s="39"/>
      <c r="X87" s="39"/>
    </row>
    <row r="88" spans="2:24" s="71" customFormat="1" ht="32">
      <c r="C88" s="75" t="s">
        <v>100</v>
      </c>
      <c r="D88" s="74" t="s">
        <v>7</v>
      </c>
      <c r="E88" s="74"/>
      <c r="F88" s="74"/>
      <c r="G88" s="74" t="s">
        <v>33</v>
      </c>
      <c r="H88" s="72">
        <v>2021</v>
      </c>
      <c r="I88" s="72">
        <v>2022</v>
      </c>
      <c r="J88" s="72">
        <v>2023</v>
      </c>
      <c r="K88" s="72">
        <v>2024</v>
      </c>
      <c r="L88" s="72">
        <v>2025</v>
      </c>
      <c r="M88" s="69" t="s">
        <v>44</v>
      </c>
      <c r="N88" s="62" t="s">
        <v>45</v>
      </c>
      <c r="O88" s="73" t="s">
        <v>73</v>
      </c>
      <c r="P88" s="73" t="s">
        <v>47</v>
      </c>
      <c r="Q88" s="73" t="s">
        <v>74</v>
      </c>
      <c r="R88" s="143" t="s">
        <v>75</v>
      </c>
      <c r="S88" s="151" t="s">
        <v>76</v>
      </c>
      <c r="T88" s="176" t="s">
        <v>129</v>
      </c>
      <c r="U88" s="185"/>
      <c r="V88" s="186"/>
      <c r="W88" s="186"/>
      <c r="X88" s="187"/>
    </row>
    <row r="89" spans="2:24" ht="16">
      <c r="B89" s="231">
        <v>4.2</v>
      </c>
      <c r="C89" s="273" t="s">
        <v>56</v>
      </c>
      <c r="D89" s="65" t="s">
        <v>23</v>
      </c>
      <c r="E89" s="65" t="s">
        <v>313</v>
      </c>
      <c r="F89" s="66"/>
      <c r="G89" s="65" t="s">
        <v>39</v>
      </c>
      <c r="H89" s="149"/>
      <c r="I89" s="150"/>
      <c r="J89" s="150"/>
      <c r="K89" s="150"/>
      <c r="L89" s="150"/>
      <c r="M89" s="150">
        <f t="shared" ref="M89:M90" si="49">SUM(H89:K89)</f>
        <v>0</v>
      </c>
      <c r="N89" s="141">
        <v>7.0000000000000007E-2</v>
      </c>
      <c r="O89" s="48">
        <v>0</v>
      </c>
      <c r="P89" s="48">
        <f>ROUND($N89*O40+O89,-3)</f>
        <v>0</v>
      </c>
      <c r="Q89" s="48">
        <f>ROUND($N89*P40+P89,-3)</f>
        <v>28000</v>
      </c>
      <c r="R89" s="48">
        <f>ROUND($N89*Q40+Q89,-3)</f>
        <v>56000</v>
      </c>
      <c r="S89" s="48">
        <f>ROUND($N89*R40+R89,-3)</f>
        <v>56000</v>
      </c>
      <c r="T89" s="165">
        <f t="shared" ref="T89:T90" si="50">SUM(O89:S89)</f>
        <v>140000</v>
      </c>
      <c r="U89" s="180">
        <f t="shared" ref="U89:X90" si="51">IF($E89=U$2,$T89,0)</f>
        <v>0</v>
      </c>
      <c r="V89" s="173">
        <f t="shared" si="51"/>
        <v>0</v>
      </c>
      <c r="W89" s="173">
        <f t="shared" si="51"/>
        <v>140000</v>
      </c>
      <c r="X89" s="181">
        <f t="shared" si="51"/>
        <v>0</v>
      </c>
    </row>
    <row r="90" spans="2:24" ht="17" thickBot="1">
      <c r="B90" s="231">
        <v>4.2</v>
      </c>
      <c r="C90" s="274"/>
      <c r="D90" s="67" t="s">
        <v>24</v>
      </c>
      <c r="E90" s="65" t="s">
        <v>313</v>
      </c>
      <c r="F90" s="68"/>
      <c r="G90" s="67" t="s">
        <v>39</v>
      </c>
      <c r="H90" s="152"/>
      <c r="I90" s="153"/>
      <c r="J90" s="153"/>
      <c r="K90" s="153"/>
      <c r="L90" s="153"/>
      <c r="M90" s="153">
        <f t="shared" si="49"/>
        <v>0</v>
      </c>
      <c r="N90" s="142">
        <v>7.0000000000000007E-2</v>
      </c>
      <c r="O90" s="49">
        <v>0</v>
      </c>
      <c r="P90" s="49">
        <f>ROUND($N90*O57+O90,-3)</f>
        <v>84000</v>
      </c>
      <c r="Q90" s="49">
        <f>ROUND($N90*P57+P90,-3)</f>
        <v>169000</v>
      </c>
      <c r="R90" s="49">
        <f>ROUND($N90*Q57+Q90,-3)</f>
        <v>196000</v>
      </c>
      <c r="S90" s="49">
        <f>ROUND($N90*R57+R90,-3)</f>
        <v>203000</v>
      </c>
      <c r="T90" s="166">
        <f t="shared" si="50"/>
        <v>652000</v>
      </c>
      <c r="U90" s="182">
        <f t="shared" si="51"/>
        <v>0</v>
      </c>
      <c r="V90" s="183">
        <f t="shared" si="51"/>
        <v>0</v>
      </c>
      <c r="W90" s="183">
        <f t="shared" si="51"/>
        <v>652000</v>
      </c>
      <c r="X90" s="184">
        <f t="shared" si="51"/>
        <v>0</v>
      </c>
    </row>
    <row r="91" spans="2:24" ht="16" thickBot="1">
      <c r="C91" s="16"/>
      <c r="D91" s="9"/>
      <c r="E91" s="9"/>
      <c r="F91" s="9"/>
      <c r="G91" s="9"/>
      <c r="H91" s="9"/>
      <c r="I91" s="9"/>
      <c r="J91" s="5"/>
      <c r="K91" s="5"/>
      <c r="L91" s="5"/>
      <c r="M91" s="5"/>
      <c r="N91" s="4"/>
      <c r="O91" s="39"/>
      <c r="P91" s="39"/>
      <c r="Q91" s="40"/>
      <c r="R91" s="40"/>
      <c r="S91" s="40"/>
      <c r="T91" s="41"/>
      <c r="U91" s="41"/>
      <c r="V91" s="41"/>
      <c r="W91" s="41"/>
      <c r="X91" s="41"/>
    </row>
    <row r="92" spans="2:24" s="45" customFormat="1" ht="16" thickBot="1">
      <c r="C92" s="47"/>
      <c r="D92" s="46"/>
      <c r="E92" s="46"/>
      <c r="F92" s="46"/>
      <c r="G92" s="46"/>
      <c r="H92" s="46"/>
      <c r="I92" s="46"/>
      <c r="J92" s="46"/>
      <c r="K92" s="46"/>
      <c r="L92" s="87"/>
      <c r="M92" s="88"/>
      <c r="N92" s="89" t="s">
        <v>111</v>
      </c>
      <c r="O92" s="83">
        <f>SUM(O89:O90)</f>
        <v>0</v>
      </c>
      <c r="P92" s="84">
        <f>SUM(P89:P90)</f>
        <v>84000</v>
      </c>
      <c r="Q92" s="84">
        <f>SUM(Q89:Q90)</f>
        <v>197000</v>
      </c>
      <c r="R92" s="84">
        <f>SUM(R89:R90)</f>
        <v>252000</v>
      </c>
      <c r="S92" s="85">
        <f>SUM(S89:S90)</f>
        <v>259000</v>
      </c>
      <c r="T92" s="61">
        <f>SUM(O92:S92)</f>
        <v>792000</v>
      </c>
      <c r="U92" s="172">
        <f>SUM(U89:U90)</f>
        <v>0</v>
      </c>
      <c r="V92" s="174">
        <f t="shared" ref="V92:X92" si="52">SUM(V89:V90)</f>
        <v>0</v>
      </c>
      <c r="W92" s="174">
        <f t="shared" si="52"/>
        <v>792000</v>
      </c>
      <c r="X92" s="175">
        <f t="shared" si="52"/>
        <v>0</v>
      </c>
    </row>
    <row r="93" spans="2:24">
      <c r="C93" s="2"/>
      <c r="D93" s="2"/>
      <c r="E93" s="2"/>
      <c r="F93" s="2"/>
      <c r="G93" s="2"/>
      <c r="H93" s="2"/>
      <c r="I93" s="2"/>
      <c r="J93" s="5"/>
      <c r="K93" s="5"/>
      <c r="L93" s="5"/>
      <c r="M93" s="5"/>
      <c r="N93" s="4"/>
      <c r="O93" s="39"/>
      <c r="P93" s="39"/>
      <c r="Q93" s="39"/>
      <c r="R93" s="39"/>
      <c r="S93" s="39"/>
      <c r="T93" s="39"/>
      <c r="U93" s="39"/>
      <c r="V93" s="39"/>
      <c r="W93" s="39"/>
      <c r="X93" s="39"/>
    </row>
    <row r="94" spans="2:24" ht="16" thickBot="1">
      <c r="C94" s="2"/>
      <c r="D94" s="2"/>
      <c r="E94" s="2"/>
      <c r="F94" s="2"/>
      <c r="G94" s="2"/>
      <c r="H94" s="2"/>
      <c r="I94" s="2"/>
      <c r="J94" s="5"/>
      <c r="K94" s="5"/>
      <c r="L94" s="5"/>
      <c r="M94" s="5"/>
      <c r="N94" s="4"/>
      <c r="O94" s="39"/>
      <c r="P94" s="39"/>
      <c r="Q94" s="39"/>
      <c r="R94" s="39"/>
      <c r="S94" s="39"/>
      <c r="T94" s="39"/>
      <c r="U94" s="39"/>
      <c r="V94" s="39"/>
      <c r="W94" s="39"/>
      <c r="X94" s="39"/>
    </row>
    <row r="95" spans="2:24" ht="34" thickTop="1" thickBot="1">
      <c r="C95" s="91"/>
      <c r="D95" s="92"/>
      <c r="E95" s="92"/>
      <c r="F95" s="92"/>
      <c r="G95" s="92"/>
      <c r="H95" s="92"/>
      <c r="I95" s="92"/>
      <c r="J95" s="93"/>
      <c r="K95" s="93"/>
      <c r="L95" s="93"/>
      <c r="M95" s="93"/>
      <c r="N95" s="94"/>
      <c r="O95" s="43" t="s">
        <v>73</v>
      </c>
      <c r="P95" s="43" t="s">
        <v>47</v>
      </c>
      <c r="Q95" s="43" t="s">
        <v>74</v>
      </c>
      <c r="R95" s="43" t="s">
        <v>75</v>
      </c>
      <c r="S95" s="43" t="s">
        <v>76</v>
      </c>
      <c r="T95" s="86" t="s">
        <v>92</v>
      </c>
      <c r="U95" s="185"/>
      <c r="V95" s="186"/>
      <c r="W95" s="186"/>
      <c r="X95" s="187"/>
    </row>
    <row r="96" spans="2:24" s="45" customFormat="1" ht="17" thickTop="1" thickBot="1">
      <c r="C96" s="95"/>
      <c r="D96" s="96"/>
      <c r="E96" s="96"/>
      <c r="F96" s="96"/>
      <c r="G96" s="96"/>
      <c r="H96" s="96"/>
      <c r="I96" s="96"/>
      <c r="J96" s="96"/>
      <c r="K96" s="96"/>
      <c r="L96" s="90"/>
      <c r="M96" s="97"/>
      <c r="N96" s="98" t="s">
        <v>112</v>
      </c>
      <c r="O96" s="102">
        <f t="shared" ref="O96:S96" si="53">O92+O85</f>
        <v>3115000</v>
      </c>
      <c r="P96" s="103">
        <f t="shared" si="53"/>
        <v>3909000</v>
      </c>
      <c r="Q96" s="103">
        <f t="shared" si="53"/>
        <v>4030000</v>
      </c>
      <c r="R96" s="103">
        <f t="shared" si="53"/>
        <v>1634000</v>
      </c>
      <c r="S96" s="104">
        <f t="shared" si="53"/>
        <v>1041000</v>
      </c>
      <c r="T96" s="86">
        <f>T92+T85</f>
        <v>13729000</v>
      </c>
      <c r="U96" s="172">
        <f t="shared" ref="U96:X96" si="54">U92+U85</f>
        <v>0</v>
      </c>
      <c r="V96" s="174">
        <f t="shared" si="54"/>
        <v>1200000</v>
      </c>
      <c r="W96" s="174">
        <f t="shared" si="54"/>
        <v>12529000</v>
      </c>
      <c r="X96" s="175">
        <f t="shared" si="54"/>
        <v>0</v>
      </c>
    </row>
    <row r="97" spans="3:24" s="2" customFormat="1">
      <c r="C97" s="16"/>
      <c r="D97" s="9"/>
      <c r="E97" s="9"/>
      <c r="F97" s="9"/>
      <c r="G97" s="9"/>
      <c r="H97" s="9"/>
      <c r="I97" s="9"/>
      <c r="J97" s="5"/>
      <c r="K97" s="5"/>
      <c r="L97" s="5"/>
      <c r="M97" s="5"/>
      <c r="N97" s="4"/>
      <c r="O97" s="41"/>
      <c r="P97" s="41"/>
      <c r="Q97" s="41"/>
      <c r="R97" s="41"/>
      <c r="S97" s="41"/>
      <c r="T97" s="42"/>
      <c r="U97" s="42"/>
      <c r="V97" s="42"/>
      <c r="W97" s="42"/>
      <c r="X97" s="42"/>
    </row>
    <row r="98" spans="3:24" ht="16" thickBot="1">
      <c r="N98" s="11"/>
      <c r="O98" s="11"/>
      <c r="P98" s="11"/>
      <c r="Q98" s="11"/>
      <c r="R98" s="11"/>
      <c r="S98" s="11"/>
      <c r="T98" s="11"/>
      <c r="U98" s="11"/>
      <c r="V98" s="11"/>
      <c r="W98" s="11"/>
      <c r="X98" s="11"/>
    </row>
    <row r="99" spans="3:24" s="71" customFormat="1" ht="16">
      <c r="C99" s="75" t="s">
        <v>104</v>
      </c>
      <c r="D99" s="74" t="s">
        <v>7</v>
      </c>
      <c r="E99" s="74"/>
      <c r="F99" s="74"/>
      <c r="G99" s="74" t="s">
        <v>33</v>
      </c>
      <c r="H99" s="72">
        <v>2021</v>
      </c>
      <c r="I99" s="72">
        <v>2022</v>
      </c>
      <c r="J99" s="72">
        <v>2023</v>
      </c>
      <c r="K99" s="72">
        <v>2024</v>
      </c>
      <c r="L99" s="72">
        <v>2025</v>
      </c>
      <c r="M99" s="69"/>
      <c r="N99" s="62"/>
      <c r="O99" s="73">
        <v>2018</v>
      </c>
      <c r="P99" s="73">
        <v>2019</v>
      </c>
      <c r="Q99" s="73">
        <v>2020</v>
      </c>
      <c r="R99" s="73">
        <v>2021</v>
      </c>
      <c r="S99" s="73">
        <v>2022</v>
      </c>
      <c r="T99" s="70" t="s">
        <v>0</v>
      </c>
      <c r="U99" s="11"/>
      <c r="V99" s="11"/>
      <c r="W99" s="11"/>
      <c r="X99" s="11"/>
    </row>
    <row r="100" spans="3:24" ht="16">
      <c r="C100" s="273" t="s">
        <v>57</v>
      </c>
      <c r="D100" s="6" t="s">
        <v>58</v>
      </c>
      <c r="E100" s="6"/>
      <c r="F100" s="6"/>
      <c r="G100" s="6" t="s">
        <v>60</v>
      </c>
      <c r="H100" s="32"/>
      <c r="I100" s="33"/>
      <c r="J100" s="33"/>
      <c r="K100" s="33"/>
      <c r="L100" s="33"/>
      <c r="M100" s="29"/>
      <c r="N100" s="26"/>
      <c r="O100" s="26"/>
      <c r="P100" s="26"/>
      <c r="Q100" s="26"/>
      <c r="R100" s="26"/>
      <c r="S100" s="27"/>
      <c r="T100" s="34"/>
      <c r="U100" s="11"/>
      <c r="V100" s="11"/>
      <c r="W100" s="11"/>
      <c r="X100" s="11"/>
    </row>
    <row r="101" spans="3:24" ht="16">
      <c r="C101" s="273"/>
      <c r="D101" s="6" t="s">
        <v>59</v>
      </c>
      <c r="E101" s="6"/>
      <c r="F101" s="6"/>
      <c r="G101" s="6" t="s">
        <v>61</v>
      </c>
      <c r="H101" s="25"/>
      <c r="I101" s="25"/>
      <c r="J101" s="25"/>
      <c r="K101" s="25"/>
      <c r="L101" s="25"/>
      <c r="M101" s="30"/>
      <c r="N101" s="25"/>
      <c r="O101" s="10">
        <f>H100*H101</f>
        <v>0</v>
      </c>
      <c r="P101" s="10">
        <f t="shared" ref="P101:S101" si="55">I100*I101</f>
        <v>0</v>
      </c>
      <c r="Q101" s="10">
        <f t="shared" si="55"/>
        <v>0</v>
      </c>
      <c r="R101" s="10">
        <f t="shared" si="55"/>
        <v>0</v>
      </c>
      <c r="S101" s="10">
        <f t="shared" si="55"/>
        <v>0</v>
      </c>
      <c r="T101" s="21">
        <f t="shared" ref="T101:T102" si="56">SUM(O101:S101)</f>
        <v>0</v>
      </c>
      <c r="U101" s="11"/>
      <c r="V101" s="11"/>
      <c r="W101" s="11"/>
      <c r="X101" s="11"/>
    </row>
    <row r="102" spans="3:24" ht="17" thickBot="1">
      <c r="C102" s="274"/>
      <c r="D102" s="17" t="s">
        <v>70</v>
      </c>
      <c r="E102" s="17"/>
      <c r="F102" s="17"/>
      <c r="G102" s="17" t="s">
        <v>62</v>
      </c>
      <c r="H102" s="28"/>
      <c r="I102" s="28"/>
      <c r="J102" s="28"/>
      <c r="K102" s="28"/>
      <c r="L102" s="28"/>
      <c r="M102" s="31"/>
      <c r="N102" s="28"/>
      <c r="O102" s="18">
        <f>H100*H102</f>
        <v>0</v>
      </c>
      <c r="P102" s="18">
        <f t="shared" ref="P102:S102" si="57">I100*I102</f>
        <v>0</v>
      </c>
      <c r="Q102" s="18">
        <f t="shared" si="57"/>
        <v>0</v>
      </c>
      <c r="R102" s="18">
        <f t="shared" si="57"/>
        <v>0</v>
      </c>
      <c r="S102" s="23">
        <f t="shared" si="57"/>
        <v>0</v>
      </c>
      <c r="T102" s="22">
        <f t="shared" si="56"/>
        <v>0</v>
      </c>
      <c r="U102" s="11"/>
      <c r="V102" s="11"/>
      <c r="W102" s="11"/>
      <c r="X102" s="11"/>
    </row>
    <row r="103" spans="3:24" ht="16" thickBot="1">
      <c r="C103" s="8"/>
      <c r="D103" s="7"/>
      <c r="E103" s="7"/>
      <c r="F103" s="7"/>
      <c r="G103" s="7"/>
      <c r="H103" s="13"/>
      <c r="I103" s="13"/>
      <c r="J103" s="14"/>
      <c r="K103" s="14"/>
      <c r="L103" s="14"/>
      <c r="M103" s="11"/>
      <c r="N103" s="11"/>
      <c r="O103" s="11"/>
      <c r="P103" s="11"/>
      <c r="Q103" s="11"/>
      <c r="R103" s="11"/>
      <c r="S103" s="11"/>
      <c r="T103" s="24"/>
      <c r="U103" s="11"/>
      <c r="V103" s="11"/>
      <c r="W103" s="11"/>
      <c r="X103" s="11"/>
    </row>
    <row r="104" spans="3:24" ht="16" thickBot="1">
      <c r="L104" s="87"/>
      <c r="M104" s="88"/>
      <c r="N104" s="89" t="s">
        <v>113</v>
      </c>
      <c r="O104" s="35">
        <f>O102</f>
        <v>0</v>
      </c>
      <c r="P104" s="35">
        <f t="shared" ref="P104:S104" si="58">P102</f>
        <v>0</v>
      </c>
      <c r="Q104" s="35">
        <f t="shared" si="58"/>
        <v>0</v>
      </c>
      <c r="R104" s="35">
        <f t="shared" si="58"/>
        <v>0</v>
      </c>
      <c r="S104" s="35">
        <f t="shared" si="58"/>
        <v>0</v>
      </c>
      <c r="T104" s="15">
        <f>SUM(O104:S104)</f>
        <v>0</v>
      </c>
      <c r="U104" s="11"/>
      <c r="V104" s="11"/>
      <c r="W104" s="11"/>
      <c r="X104" s="11"/>
    </row>
    <row r="105" spans="3:24" ht="16" thickBot="1">
      <c r="U105" s="11"/>
      <c r="V105" s="11"/>
      <c r="W105" s="11"/>
      <c r="X105" s="11"/>
    </row>
    <row r="106" spans="3:24" ht="50" thickTop="1" thickBot="1">
      <c r="C106" s="106"/>
      <c r="D106" s="112" t="s">
        <v>114</v>
      </c>
      <c r="E106" s="107"/>
      <c r="F106" s="107"/>
      <c r="G106" s="107"/>
      <c r="H106" s="107"/>
      <c r="I106" s="107"/>
      <c r="J106" s="107"/>
      <c r="K106" s="107"/>
      <c r="L106" s="107"/>
      <c r="M106" s="107"/>
      <c r="N106" s="108"/>
      <c r="O106" s="19" t="s">
        <v>73</v>
      </c>
      <c r="P106" s="19" t="s">
        <v>47</v>
      </c>
      <c r="Q106" s="19" t="s">
        <v>74</v>
      </c>
      <c r="R106" s="19" t="s">
        <v>75</v>
      </c>
      <c r="S106" s="44" t="s">
        <v>76</v>
      </c>
      <c r="T106" s="20" t="s">
        <v>93</v>
      </c>
      <c r="U106" s="11"/>
      <c r="V106" s="11"/>
      <c r="W106" s="11"/>
      <c r="X106" s="11"/>
    </row>
    <row r="107" spans="3:24" s="45" customFormat="1" ht="16" thickBot="1">
      <c r="C107" s="109"/>
      <c r="D107" s="110"/>
      <c r="E107" s="110"/>
      <c r="F107" s="110"/>
      <c r="G107" s="110"/>
      <c r="H107" s="110"/>
      <c r="I107" s="110"/>
      <c r="J107" s="110"/>
      <c r="K107" s="110"/>
      <c r="L107" s="110"/>
      <c r="M107" s="110"/>
      <c r="N107" s="111"/>
      <c r="O107" s="83">
        <f>O92+O104</f>
        <v>0</v>
      </c>
      <c r="P107" s="84">
        <f>P92+P104</f>
        <v>84000</v>
      </c>
      <c r="Q107" s="84">
        <f>Q92+Q104</f>
        <v>197000</v>
      </c>
      <c r="R107" s="84">
        <f>R92+R104</f>
        <v>252000</v>
      </c>
      <c r="S107" s="85">
        <f>S92+S104</f>
        <v>259000</v>
      </c>
      <c r="T107" s="61">
        <f>S107</f>
        <v>259000</v>
      </c>
      <c r="U107" s="11"/>
      <c r="V107" s="11"/>
      <c r="W107" s="11"/>
      <c r="X107" s="11"/>
    </row>
    <row r="108" spans="3:24">
      <c r="Q108" s="271"/>
      <c r="R108" s="271"/>
      <c r="S108" s="121"/>
      <c r="U108" s="11"/>
      <c r="V108" s="11"/>
      <c r="W108" s="11"/>
      <c r="X108" s="11"/>
    </row>
    <row r="109" spans="3:24">
      <c r="Q109" s="272"/>
      <c r="R109" s="272"/>
      <c r="S109" s="121"/>
      <c r="U109" s="11"/>
      <c r="V109" s="11"/>
      <c r="W109" s="11"/>
      <c r="X109" s="11"/>
    </row>
    <row r="110" spans="3:24">
      <c r="U110" s="11"/>
      <c r="V110" s="11"/>
      <c r="W110" s="11"/>
      <c r="X110" s="11"/>
    </row>
    <row r="111" spans="3:24">
      <c r="U111" s="11"/>
      <c r="V111" s="11"/>
      <c r="W111" s="11"/>
      <c r="X111" s="11"/>
    </row>
    <row r="112" spans="3:24">
      <c r="U112" s="11"/>
      <c r="V112" s="11"/>
      <c r="W112" s="11"/>
      <c r="X112" s="11"/>
    </row>
    <row r="113" spans="21:24">
      <c r="U113" s="11"/>
      <c r="V113" s="11"/>
      <c r="W113" s="11"/>
      <c r="X113" s="11"/>
    </row>
    <row r="114" spans="21:24">
      <c r="U114" s="11"/>
      <c r="V114" s="11"/>
      <c r="W114" s="11"/>
      <c r="X114" s="11"/>
    </row>
    <row r="115" spans="21:24">
      <c r="U115" s="11"/>
      <c r="V115" s="11"/>
      <c r="W115" s="11"/>
      <c r="X115" s="11"/>
    </row>
    <row r="116" spans="21:24">
      <c r="U116" s="11"/>
      <c r="V116" s="11"/>
      <c r="W116" s="11"/>
      <c r="X116" s="11"/>
    </row>
  </sheetData>
  <mergeCells count="8">
    <mergeCell ref="C100:C102"/>
    <mergeCell ref="Q108:R109"/>
    <mergeCell ref="C4:C30"/>
    <mergeCell ref="C35:C38"/>
    <mergeCell ref="C44:C55"/>
    <mergeCell ref="C62:C68"/>
    <mergeCell ref="C74:C78"/>
    <mergeCell ref="C89:C90"/>
  </mergeCells>
  <phoneticPr fontId="8" type="noConversion"/>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09D0-D147-4516-AE1D-2829E124002A}">
  <dimension ref="C2:BF64"/>
  <sheetViews>
    <sheetView zoomScale="70" zoomScaleNormal="70" workbookViewId="0">
      <selection activeCell="H7" sqref="H7"/>
    </sheetView>
  </sheetViews>
  <sheetFormatPr baseColWidth="10" defaultColWidth="11.5" defaultRowHeight="15"/>
  <cols>
    <col min="1" max="1" width="4" style="1" customWidth="1"/>
    <col min="2" max="2" width="6.33203125" style="1" customWidth="1"/>
    <col min="3" max="3" width="15.33203125" style="1" customWidth="1"/>
    <col min="4" max="4" width="50.5" style="1" customWidth="1"/>
    <col min="5" max="5" width="14.1640625" style="1" customWidth="1"/>
    <col min="6" max="6" width="11" style="1" customWidth="1"/>
    <col min="7" max="8" width="21.6640625" style="1" customWidth="1"/>
    <col min="9" max="9" width="7.5" style="1" customWidth="1"/>
    <col min="10" max="13" width="7.33203125" style="1" customWidth="1"/>
    <col min="14" max="23" width="7.5" style="1" customWidth="1"/>
    <col min="24" max="24" width="9.6640625" style="1" customWidth="1"/>
    <col min="25" max="37" width="7.5" style="1" customWidth="1"/>
    <col min="38" max="58" width="7.6640625" style="1" customWidth="1"/>
    <col min="59" max="16384" width="11.5" style="1"/>
  </cols>
  <sheetData>
    <row r="2" spans="3:58">
      <c r="I2" s="122">
        <v>1</v>
      </c>
      <c r="J2" s="122">
        <v>2</v>
      </c>
      <c r="K2" s="122">
        <v>3</v>
      </c>
      <c r="L2" s="122">
        <v>4</v>
      </c>
      <c r="M2" s="122">
        <v>5</v>
      </c>
      <c r="N2" s="122">
        <v>6</v>
      </c>
      <c r="O2" s="122">
        <v>7</v>
      </c>
      <c r="P2" s="122">
        <v>8</v>
      </c>
      <c r="Q2" s="122">
        <v>9</v>
      </c>
      <c r="R2" s="122">
        <v>10</v>
      </c>
      <c r="S2" s="122">
        <v>11</v>
      </c>
      <c r="T2" s="122">
        <v>12</v>
      </c>
      <c r="U2" s="122">
        <v>13</v>
      </c>
      <c r="V2" s="122">
        <v>14</v>
      </c>
      <c r="W2" s="122">
        <v>15</v>
      </c>
      <c r="X2" s="122">
        <v>16</v>
      </c>
      <c r="Y2" s="122">
        <v>17</v>
      </c>
      <c r="Z2" s="122">
        <v>18</v>
      </c>
      <c r="AA2" s="122">
        <v>19</v>
      </c>
      <c r="AB2" s="122">
        <v>20</v>
      </c>
      <c r="AC2" s="122">
        <v>21</v>
      </c>
      <c r="AD2" s="122">
        <v>22</v>
      </c>
      <c r="AE2" s="122">
        <v>23</v>
      </c>
      <c r="AF2" s="122">
        <v>24</v>
      </c>
      <c r="AG2" s="122">
        <v>25</v>
      </c>
      <c r="AH2" s="122">
        <v>26</v>
      </c>
      <c r="AI2" s="122">
        <v>27</v>
      </c>
      <c r="AJ2" s="122">
        <v>28</v>
      </c>
      <c r="AK2" s="122">
        <v>29</v>
      </c>
      <c r="AL2" s="122">
        <v>30</v>
      </c>
      <c r="AM2" s="122">
        <v>31</v>
      </c>
      <c r="AN2" s="122">
        <v>32</v>
      </c>
      <c r="AO2" s="122">
        <v>33</v>
      </c>
      <c r="AP2" s="122">
        <v>34</v>
      </c>
      <c r="AQ2" s="122">
        <v>35</v>
      </c>
      <c r="AR2" s="122">
        <v>36</v>
      </c>
      <c r="AS2" s="122">
        <v>37</v>
      </c>
      <c r="AT2" s="122">
        <v>38</v>
      </c>
      <c r="AU2" s="122">
        <v>39</v>
      </c>
      <c r="AV2" s="122">
        <v>40</v>
      </c>
      <c r="AW2" s="122">
        <v>41</v>
      </c>
      <c r="AX2" s="122">
        <v>42</v>
      </c>
      <c r="AY2" s="122">
        <v>43</v>
      </c>
      <c r="AZ2" s="122">
        <v>44</v>
      </c>
      <c r="BA2" s="122">
        <v>45</v>
      </c>
      <c r="BB2" s="122">
        <v>46</v>
      </c>
      <c r="BC2" s="122">
        <v>47</v>
      </c>
      <c r="BD2" s="122">
        <v>48</v>
      </c>
      <c r="BE2" s="122">
        <v>49</v>
      </c>
      <c r="BF2" s="122">
        <v>50</v>
      </c>
    </row>
    <row r="3" spans="3:58" s="71" customFormat="1" ht="48">
      <c r="C3" s="129" t="s">
        <v>99</v>
      </c>
      <c r="D3" s="129" t="s">
        <v>7</v>
      </c>
      <c r="E3" s="129" t="s">
        <v>97</v>
      </c>
      <c r="F3" s="129" t="s">
        <v>98</v>
      </c>
      <c r="G3" s="129" t="s">
        <v>33</v>
      </c>
      <c r="H3" s="129" t="s">
        <v>119</v>
      </c>
      <c r="I3" s="122">
        <v>2021</v>
      </c>
      <c r="J3" s="122">
        <v>2022</v>
      </c>
      <c r="K3" s="122">
        <v>2023</v>
      </c>
      <c r="L3" s="122">
        <v>2024</v>
      </c>
      <c r="M3" s="122">
        <v>2025</v>
      </c>
      <c r="N3" s="122">
        <v>2026</v>
      </c>
      <c r="O3" s="122">
        <v>2027</v>
      </c>
      <c r="P3" s="122">
        <v>2028</v>
      </c>
      <c r="Q3" s="122">
        <v>2029</v>
      </c>
      <c r="R3" s="122">
        <v>2030</v>
      </c>
      <c r="S3" s="122">
        <v>2031</v>
      </c>
      <c r="T3" s="122">
        <v>2032</v>
      </c>
      <c r="U3" s="122">
        <v>2033</v>
      </c>
      <c r="V3" s="122">
        <v>2034</v>
      </c>
      <c r="W3" s="122">
        <v>2035</v>
      </c>
      <c r="X3" s="122">
        <v>2036</v>
      </c>
      <c r="Y3" s="122">
        <v>2037</v>
      </c>
      <c r="Z3" s="122">
        <v>2038</v>
      </c>
      <c r="AA3" s="122">
        <v>2039</v>
      </c>
      <c r="AB3" s="122">
        <v>2040</v>
      </c>
      <c r="AC3" s="122">
        <v>2041</v>
      </c>
      <c r="AD3" s="122">
        <v>2042</v>
      </c>
      <c r="AE3" s="122">
        <v>2043</v>
      </c>
      <c r="AF3" s="122">
        <v>2044</v>
      </c>
      <c r="AG3" s="122">
        <v>2045</v>
      </c>
      <c r="AH3" s="122">
        <v>2046</v>
      </c>
      <c r="AI3" s="122">
        <v>2047</v>
      </c>
      <c r="AJ3" s="122">
        <v>2048</v>
      </c>
      <c r="AK3" s="122">
        <v>2049</v>
      </c>
      <c r="AL3" s="122">
        <v>2050</v>
      </c>
      <c r="AM3" s="122">
        <v>2051</v>
      </c>
      <c r="AN3" s="122">
        <v>2052</v>
      </c>
      <c r="AO3" s="122">
        <v>2053</v>
      </c>
      <c r="AP3" s="122">
        <v>2054</v>
      </c>
      <c r="AQ3" s="122">
        <v>2055</v>
      </c>
      <c r="AR3" s="122">
        <v>2056</v>
      </c>
      <c r="AS3" s="122">
        <v>2057</v>
      </c>
      <c r="AT3" s="122">
        <v>2058</v>
      </c>
      <c r="AU3" s="122">
        <v>2059</v>
      </c>
      <c r="AV3" s="122">
        <v>2060</v>
      </c>
      <c r="AW3" s="122">
        <v>2061</v>
      </c>
      <c r="AX3" s="122">
        <v>2062</v>
      </c>
      <c r="AY3" s="122">
        <v>2063</v>
      </c>
      <c r="AZ3" s="122">
        <v>2064</v>
      </c>
      <c r="BA3" s="122">
        <v>2065</v>
      </c>
      <c r="BB3" s="122">
        <v>2066</v>
      </c>
      <c r="BC3" s="122">
        <v>2067</v>
      </c>
      <c r="BD3" s="122">
        <v>2068</v>
      </c>
      <c r="BE3" s="122">
        <v>2069</v>
      </c>
      <c r="BF3" s="122">
        <v>2070</v>
      </c>
    </row>
    <row r="4" spans="3:58" s="45" customFormat="1" ht="16">
      <c r="C4" s="278" t="s">
        <v>17</v>
      </c>
      <c r="D4" s="125" t="s">
        <v>77</v>
      </c>
      <c r="E4" s="125"/>
      <c r="F4" s="126">
        <f>'COM Act'!F18</f>
        <v>0</v>
      </c>
      <c r="G4" s="125" t="s">
        <v>34</v>
      </c>
      <c r="H4" s="125">
        <v>3500</v>
      </c>
      <c r="I4" s="124"/>
      <c r="J4" s="124"/>
      <c r="K4" s="124"/>
      <c r="L4" s="124"/>
      <c r="M4" s="124"/>
      <c r="N4" s="124"/>
      <c r="O4" s="124"/>
      <c r="P4" s="124"/>
      <c r="Q4" s="124"/>
      <c r="R4" s="124"/>
      <c r="S4" s="124"/>
      <c r="T4" s="124"/>
      <c r="U4" s="124"/>
      <c r="V4" s="124"/>
      <c r="W4" s="124"/>
      <c r="X4" s="124">
        <f>H4*(1+inflation)</f>
        <v>3570</v>
      </c>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row>
    <row r="5" spans="3:58" s="45" customFormat="1" ht="16">
      <c r="C5" s="278"/>
      <c r="D5" s="127" t="s">
        <v>71</v>
      </c>
      <c r="E5" s="127" t="s">
        <v>94</v>
      </c>
      <c r="F5" s="128">
        <f>'COM Act'!F19</f>
        <v>30</v>
      </c>
      <c r="G5" s="125" t="s">
        <v>6</v>
      </c>
      <c r="H5" s="125"/>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row>
    <row r="6" spans="3:58" s="45" customFormat="1" ht="16">
      <c r="C6" s="278"/>
      <c r="D6" s="125" t="s">
        <v>72</v>
      </c>
      <c r="E6" s="125"/>
      <c r="F6" s="126">
        <f>'COM Act'!F20</f>
        <v>0</v>
      </c>
      <c r="G6" s="125" t="s">
        <v>6</v>
      </c>
      <c r="H6" s="125"/>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row>
    <row r="7" spans="3:58" s="45" customFormat="1" ht="16">
      <c r="C7" s="278"/>
      <c r="D7" s="125" t="s">
        <v>78</v>
      </c>
      <c r="E7" s="125"/>
      <c r="F7" s="126">
        <f>'COM Act'!F21</f>
        <v>10</v>
      </c>
      <c r="G7" s="125" t="s">
        <v>34</v>
      </c>
      <c r="H7" s="125"/>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row>
    <row r="8" spans="3:58" s="45" customFormat="1" ht="16">
      <c r="C8" s="278"/>
      <c r="D8" s="125" t="s">
        <v>29</v>
      </c>
      <c r="E8" s="125"/>
      <c r="F8" s="126">
        <f>'COM Act'!F29</f>
        <v>5</v>
      </c>
      <c r="G8" s="125" t="s">
        <v>34</v>
      </c>
      <c r="H8" s="125"/>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row>
    <row r="9" spans="3:58" s="45" customFormat="1" ht="16">
      <c r="C9" s="278"/>
      <c r="D9" s="125" t="s">
        <v>30</v>
      </c>
      <c r="E9" s="125"/>
      <c r="F9" s="126">
        <f>'COM Act'!F30</f>
        <v>0</v>
      </c>
      <c r="G9" s="125" t="s">
        <v>34</v>
      </c>
      <c r="H9" s="125"/>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row>
    <row r="10" spans="3:58" s="45" customFormat="1" ht="16">
      <c r="C10" s="278"/>
      <c r="D10" s="125" t="s">
        <v>31</v>
      </c>
      <c r="E10" s="125"/>
      <c r="F10" s="126">
        <f>'COM Act'!F31</f>
        <v>10</v>
      </c>
      <c r="G10" s="125" t="s">
        <v>34</v>
      </c>
      <c r="H10" s="125"/>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row>
    <row r="11" spans="3:58" s="45" customFormat="1" ht="16">
      <c r="C11" s="278"/>
      <c r="D11" s="125" t="s">
        <v>14</v>
      </c>
      <c r="E11" s="125"/>
      <c r="F11" s="126">
        <f>'COM Act'!F32</f>
        <v>15</v>
      </c>
      <c r="G11" s="125" t="s">
        <v>34</v>
      </c>
      <c r="H11" s="125"/>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row>
    <row r="12" spans="3:58" s="45" customFormat="1" ht="16">
      <c r="C12" s="278"/>
      <c r="D12" s="125" t="s">
        <v>2</v>
      </c>
      <c r="E12" s="125"/>
      <c r="F12" s="126">
        <f>'COM Act'!F33</f>
        <v>20</v>
      </c>
      <c r="G12" s="125" t="s">
        <v>34</v>
      </c>
      <c r="H12" s="125"/>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row>
    <row r="13" spans="3:58" s="45" customFormat="1" ht="16">
      <c r="C13" s="278"/>
      <c r="D13" s="125" t="s">
        <v>46</v>
      </c>
      <c r="E13" s="125"/>
      <c r="F13" s="126">
        <f>'COM Act'!F34</f>
        <v>30</v>
      </c>
      <c r="G13" s="125" t="s">
        <v>6</v>
      </c>
      <c r="H13" s="125"/>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row>
    <row r="14" spans="3:58" s="45" customFormat="1">
      <c r="C14" s="46"/>
      <c r="D14" s="46"/>
      <c r="E14" s="46"/>
      <c r="F14" s="46"/>
      <c r="G14" s="46"/>
      <c r="H14" s="46"/>
      <c r="I14" s="46"/>
      <c r="J14" s="46"/>
      <c r="K14" s="46"/>
      <c r="L14" s="46"/>
      <c r="M14" s="46"/>
    </row>
    <row r="15" spans="3:58" s="45" customFormat="1">
      <c r="C15" s="47"/>
      <c r="D15" s="46"/>
      <c r="E15" s="46"/>
      <c r="F15" s="46"/>
      <c r="G15" s="46"/>
      <c r="H15" s="46"/>
      <c r="I15" s="46"/>
      <c r="J15" s="46"/>
      <c r="K15" s="46"/>
      <c r="L15" s="46"/>
      <c r="M15" s="46"/>
    </row>
    <row r="16" spans="3:58">
      <c r="C16" s="11"/>
      <c r="D16" s="2"/>
      <c r="E16" s="2"/>
      <c r="F16" s="2"/>
      <c r="G16" s="2"/>
      <c r="H16" s="2"/>
      <c r="I16" s="2"/>
      <c r="J16" s="2"/>
      <c r="K16" s="2"/>
      <c r="L16" s="2"/>
      <c r="M16" s="2"/>
    </row>
    <row r="17" spans="3:58">
      <c r="C17" s="9"/>
      <c r="D17" s="2"/>
      <c r="E17" s="2"/>
      <c r="F17" s="2"/>
      <c r="G17" s="2"/>
      <c r="H17" s="2"/>
      <c r="I17" s="2"/>
      <c r="J17" s="2"/>
      <c r="K17" s="2"/>
      <c r="L17" s="2"/>
      <c r="M17" s="2"/>
    </row>
    <row r="18" spans="3:58" s="71" customFormat="1" ht="48">
      <c r="C18" s="129" t="s">
        <v>100</v>
      </c>
      <c r="D18" s="129" t="s">
        <v>7</v>
      </c>
      <c r="E18" s="129" t="str">
        <f t="shared" ref="E18:F18" si="0">E3</f>
        <v>Fin.
AFD, EU, GCF, GVNT</v>
      </c>
      <c r="F18" s="129" t="str">
        <f t="shared" si="0"/>
        <v>Durée de vie (an)</v>
      </c>
      <c r="G18" s="129" t="s">
        <v>33</v>
      </c>
      <c r="H18" s="129" t="str">
        <f>$H$3</f>
        <v xml:space="preserve">Coût unitaire </v>
      </c>
      <c r="I18" s="122">
        <v>2021</v>
      </c>
      <c r="J18" s="122">
        <v>2022</v>
      </c>
      <c r="K18" s="122">
        <v>2023</v>
      </c>
      <c r="L18" s="122">
        <v>2024</v>
      </c>
      <c r="M18" s="122">
        <v>2025</v>
      </c>
      <c r="N18" s="122">
        <v>2026</v>
      </c>
      <c r="O18" s="122">
        <v>2027</v>
      </c>
      <c r="P18" s="122">
        <v>2028</v>
      </c>
      <c r="Q18" s="122">
        <v>2029</v>
      </c>
      <c r="R18" s="122">
        <v>2030</v>
      </c>
      <c r="S18" s="122">
        <v>2031</v>
      </c>
      <c r="T18" s="122">
        <v>2032</v>
      </c>
      <c r="U18" s="122">
        <v>2033</v>
      </c>
      <c r="V18" s="122">
        <v>2034</v>
      </c>
      <c r="W18" s="122">
        <v>2035</v>
      </c>
      <c r="X18" s="122">
        <v>2036</v>
      </c>
      <c r="Y18" s="122">
        <v>2037</v>
      </c>
      <c r="Z18" s="122">
        <v>2038</v>
      </c>
      <c r="AA18" s="122">
        <v>2039</v>
      </c>
      <c r="AB18" s="122">
        <v>2040</v>
      </c>
      <c r="AC18" s="122">
        <v>2041</v>
      </c>
      <c r="AD18" s="122">
        <v>2042</v>
      </c>
      <c r="AE18" s="122">
        <v>2043</v>
      </c>
      <c r="AF18" s="122">
        <v>2044</v>
      </c>
      <c r="AG18" s="122">
        <v>2045</v>
      </c>
      <c r="AH18" s="122">
        <v>2046</v>
      </c>
      <c r="AI18" s="122">
        <v>2047</v>
      </c>
      <c r="AJ18" s="122">
        <v>2048</v>
      </c>
      <c r="AK18" s="122">
        <v>2049</v>
      </c>
      <c r="AL18" s="122">
        <v>2050</v>
      </c>
      <c r="AM18" s="122">
        <v>2051</v>
      </c>
      <c r="AN18" s="122">
        <v>2052</v>
      </c>
      <c r="AO18" s="122">
        <v>2053</v>
      </c>
      <c r="AP18" s="122">
        <v>2054</v>
      </c>
      <c r="AQ18" s="122">
        <v>2055</v>
      </c>
      <c r="AR18" s="122">
        <v>2056</v>
      </c>
      <c r="AS18" s="122">
        <v>2057</v>
      </c>
      <c r="AT18" s="122">
        <v>2058</v>
      </c>
      <c r="AU18" s="122">
        <v>2059</v>
      </c>
      <c r="AV18" s="122">
        <v>2060</v>
      </c>
      <c r="AW18" s="122">
        <v>2061</v>
      </c>
      <c r="AX18" s="122">
        <v>2062</v>
      </c>
      <c r="AY18" s="122">
        <v>2063</v>
      </c>
      <c r="AZ18" s="122">
        <v>2064</v>
      </c>
      <c r="BA18" s="122">
        <v>2065</v>
      </c>
      <c r="BB18" s="122">
        <v>2066</v>
      </c>
      <c r="BC18" s="122">
        <v>2067</v>
      </c>
      <c r="BD18" s="122">
        <v>2068</v>
      </c>
      <c r="BE18" s="122">
        <v>2069</v>
      </c>
      <c r="BF18" s="122">
        <v>2070</v>
      </c>
    </row>
    <row r="19" spans="3:58" ht="16">
      <c r="C19" s="279" t="s">
        <v>13</v>
      </c>
      <c r="D19" s="125" t="s">
        <v>19</v>
      </c>
      <c r="E19" s="125"/>
      <c r="F19" s="126"/>
      <c r="G19" s="125" t="s">
        <v>35</v>
      </c>
      <c r="H19" s="125"/>
      <c r="I19" s="124"/>
      <c r="J19" s="124"/>
      <c r="K19" s="124"/>
      <c r="L19" s="124"/>
      <c r="M19" s="124"/>
      <c r="N19" s="124"/>
      <c r="O19" s="124"/>
      <c r="P19" s="124"/>
      <c r="Q19" s="124"/>
      <c r="R19" s="124"/>
      <c r="S19" s="124"/>
      <c r="T19" s="124"/>
      <c r="U19" s="124"/>
      <c r="V19" s="124"/>
      <c r="W19" s="124"/>
      <c r="X19" s="124">
        <f>H19*(1+inflation)</f>
        <v>0</v>
      </c>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row>
    <row r="20" spans="3:58" ht="16">
      <c r="C20" s="279"/>
      <c r="D20" s="125" t="s">
        <v>32</v>
      </c>
      <c r="E20" s="125"/>
      <c r="F20" s="126"/>
      <c r="G20" s="125" t="s">
        <v>34</v>
      </c>
      <c r="H20" s="125"/>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row>
    <row r="21" spans="3:58" ht="16">
      <c r="C21" s="279"/>
      <c r="D21" s="127" t="s">
        <v>43</v>
      </c>
      <c r="E21" s="127"/>
      <c r="F21" s="128"/>
      <c r="G21" s="125" t="s">
        <v>34</v>
      </c>
      <c r="H21" s="125"/>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row>
    <row r="22" spans="3:58" ht="16">
      <c r="C22" s="279"/>
      <c r="D22" s="125" t="s">
        <v>36</v>
      </c>
      <c r="E22" s="125"/>
      <c r="F22" s="126"/>
      <c r="G22" s="125" t="s">
        <v>34</v>
      </c>
      <c r="H22" s="125"/>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row>
    <row r="23" spans="3:58" ht="16">
      <c r="C23" s="279"/>
      <c r="D23" s="125" t="s">
        <v>67</v>
      </c>
      <c r="E23" s="125"/>
      <c r="F23" s="126"/>
      <c r="G23" s="125" t="s">
        <v>35</v>
      </c>
      <c r="H23" s="125"/>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row>
    <row r="24" spans="3:58" ht="16">
      <c r="C24" s="279"/>
      <c r="D24" s="125" t="s">
        <v>37</v>
      </c>
      <c r="E24" s="125"/>
      <c r="F24" s="126"/>
      <c r="G24" s="125" t="s">
        <v>35</v>
      </c>
      <c r="H24" s="125"/>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row>
    <row r="25" spans="3:58" ht="16">
      <c r="C25" s="279"/>
      <c r="D25" s="125" t="s">
        <v>3</v>
      </c>
      <c r="E25" s="125"/>
      <c r="F25" s="126"/>
      <c r="G25" s="125" t="s">
        <v>35</v>
      </c>
      <c r="H25" s="125"/>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row>
    <row r="26" spans="3:58" ht="16">
      <c r="C26" s="279"/>
      <c r="D26" s="125" t="s">
        <v>38</v>
      </c>
      <c r="E26" s="125"/>
      <c r="F26" s="126"/>
      <c r="G26" s="125" t="s">
        <v>35</v>
      </c>
      <c r="H26" s="125"/>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row>
    <row r="27" spans="3:58" ht="16">
      <c r="C27" s="279"/>
      <c r="D27" s="125" t="s">
        <v>15</v>
      </c>
      <c r="E27" s="125"/>
      <c r="F27" s="126"/>
      <c r="G27" s="125" t="s">
        <v>34</v>
      </c>
      <c r="H27" s="125"/>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row>
    <row r="28" spans="3:58" ht="16">
      <c r="C28" s="279"/>
      <c r="D28" s="125" t="s">
        <v>25</v>
      </c>
      <c r="E28" s="125"/>
      <c r="F28" s="126"/>
      <c r="G28" s="125" t="s">
        <v>35</v>
      </c>
      <c r="H28" s="125"/>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row>
    <row r="29" spans="3:58" ht="16">
      <c r="C29" s="279"/>
      <c r="D29" s="125" t="s">
        <v>42</v>
      </c>
      <c r="E29" s="125"/>
      <c r="F29" s="126"/>
      <c r="G29" s="125" t="s">
        <v>35</v>
      </c>
      <c r="H29" s="125"/>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3:58" ht="16">
      <c r="C30" s="279"/>
      <c r="D30" s="125" t="s">
        <v>41</v>
      </c>
      <c r="E30" s="125"/>
      <c r="F30" s="126"/>
      <c r="G30" s="125" t="s">
        <v>35</v>
      </c>
      <c r="H30" s="125"/>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3:58" ht="16" thickBot="1">
      <c r="C31" s="9"/>
      <c r="D31" s="9"/>
      <c r="E31" s="9"/>
      <c r="F31" s="9"/>
      <c r="G31" s="9"/>
      <c r="H31" s="9"/>
      <c r="I31" s="9"/>
      <c r="J31" s="9"/>
      <c r="K31" s="9"/>
      <c r="L31" s="9"/>
      <c r="M31" s="9"/>
    </row>
    <row r="32" spans="3:58" s="45" customFormat="1" ht="16" thickBot="1">
      <c r="C32" s="47"/>
      <c r="D32" s="46"/>
      <c r="E32" s="46"/>
      <c r="F32" s="46"/>
      <c r="G32" s="46"/>
      <c r="H32" s="46"/>
      <c r="I32" s="46"/>
      <c r="J32" s="46"/>
      <c r="K32" s="46"/>
      <c r="L32" s="46"/>
      <c r="M32" s="87"/>
    </row>
    <row r="33" spans="3:58">
      <c r="C33" s="9"/>
      <c r="D33" s="9"/>
      <c r="E33" s="9"/>
      <c r="F33" s="9"/>
      <c r="G33" s="9"/>
      <c r="H33" s="9"/>
      <c r="I33" s="9"/>
      <c r="J33" s="9"/>
      <c r="K33" s="9"/>
      <c r="L33" s="9"/>
      <c r="M33" s="9"/>
    </row>
    <row r="34" spans="3:58">
      <c r="C34" s="9"/>
      <c r="D34" s="9"/>
      <c r="E34" s="9"/>
      <c r="F34" s="9"/>
      <c r="G34" s="9"/>
      <c r="H34" s="9"/>
      <c r="I34" s="9"/>
      <c r="J34" s="9"/>
      <c r="K34" s="9"/>
      <c r="L34" s="9"/>
      <c r="M34" s="9"/>
    </row>
    <row r="35" spans="3:58" s="71" customFormat="1" ht="48">
      <c r="C35" s="129" t="s">
        <v>101</v>
      </c>
      <c r="D35" s="129" t="s">
        <v>7</v>
      </c>
      <c r="E35" s="129" t="str">
        <f t="shared" ref="E35:F35" si="1">E3</f>
        <v>Fin.
AFD, EU, GCF, GVNT</v>
      </c>
      <c r="F35" s="129" t="str">
        <f t="shared" si="1"/>
        <v>Durée de vie (an)</v>
      </c>
      <c r="G35" s="129" t="s">
        <v>33</v>
      </c>
      <c r="H35" s="129" t="str">
        <f>$H$3</f>
        <v xml:space="preserve">Coût unitaire </v>
      </c>
      <c r="I35" s="122">
        <v>2021</v>
      </c>
      <c r="J35" s="122">
        <v>2022</v>
      </c>
      <c r="K35" s="122">
        <v>2023</v>
      </c>
      <c r="L35" s="122">
        <v>2024</v>
      </c>
      <c r="M35" s="122">
        <v>2025</v>
      </c>
      <c r="N35" s="122">
        <v>2026</v>
      </c>
      <c r="O35" s="122">
        <v>2027</v>
      </c>
      <c r="P35" s="122">
        <v>2028</v>
      </c>
      <c r="Q35" s="122">
        <v>2029</v>
      </c>
      <c r="R35" s="122">
        <v>2030</v>
      </c>
      <c r="S35" s="122">
        <v>2031</v>
      </c>
      <c r="T35" s="122">
        <v>2032</v>
      </c>
      <c r="U35" s="122">
        <v>2033</v>
      </c>
      <c r="V35" s="122">
        <v>2034</v>
      </c>
      <c r="W35" s="122">
        <v>2035</v>
      </c>
      <c r="X35" s="122">
        <v>2036</v>
      </c>
      <c r="Y35" s="122">
        <v>2037</v>
      </c>
      <c r="Z35" s="122">
        <v>2038</v>
      </c>
      <c r="AA35" s="122">
        <v>2039</v>
      </c>
      <c r="AB35" s="122">
        <v>2040</v>
      </c>
      <c r="AC35" s="122">
        <v>2041</v>
      </c>
      <c r="AD35" s="122">
        <v>2042</v>
      </c>
      <c r="AE35" s="122">
        <v>2043</v>
      </c>
      <c r="AF35" s="122">
        <v>2044</v>
      </c>
      <c r="AG35" s="122">
        <v>2045</v>
      </c>
      <c r="AH35" s="122">
        <v>2046</v>
      </c>
      <c r="AI35" s="122">
        <v>2047</v>
      </c>
      <c r="AJ35" s="122">
        <v>2048</v>
      </c>
      <c r="AK35" s="122">
        <v>2049</v>
      </c>
      <c r="AL35" s="122">
        <v>2050</v>
      </c>
      <c r="AM35" s="122">
        <v>2051</v>
      </c>
      <c r="AN35" s="122">
        <v>2052</v>
      </c>
      <c r="AO35" s="122">
        <v>2053</v>
      </c>
      <c r="AP35" s="122">
        <v>2054</v>
      </c>
      <c r="AQ35" s="122">
        <v>2055</v>
      </c>
      <c r="AR35" s="122">
        <v>2056</v>
      </c>
      <c r="AS35" s="122">
        <v>2057</v>
      </c>
      <c r="AT35" s="122">
        <v>2058</v>
      </c>
      <c r="AU35" s="122">
        <v>2059</v>
      </c>
      <c r="AV35" s="122">
        <v>2060</v>
      </c>
      <c r="AW35" s="122">
        <v>2061</v>
      </c>
      <c r="AX35" s="122">
        <v>2062</v>
      </c>
      <c r="AY35" s="122">
        <v>2063</v>
      </c>
      <c r="AZ35" s="122">
        <v>2064</v>
      </c>
      <c r="BA35" s="122">
        <v>2065</v>
      </c>
      <c r="BB35" s="122">
        <v>2066</v>
      </c>
      <c r="BC35" s="122">
        <v>2067</v>
      </c>
      <c r="BD35" s="122">
        <v>2068</v>
      </c>
      <c r="BE35" s="122">
        <v>2069</v>
      </c>
      <c r="BF35" s="122">
        <v>2070</v>
      </c>
    </row>
    <row r="36" spans="3:58" ht="16">
      <c r="C36" s="279" t="s">
        <v>18</v>
      </c>
      <c r="D36" s="125" t="s">
        <v>20</v>
      </c>
      <c r="E36" s="125"/>
      <c r="F36" s="126"/>
      <c r="G36" s="125" t="s">
        <v>39</v>
      </c>
      <c r="H36" s="125"/>
      <c r="I36" s="124"/>
      <c r="J36" s="124"/>
      <c r="K36" s="124"/>
      <c r="L36" s="124"/>
      <c r="M36" s="124"/>
      <c r="N36" s="124"/>
      <c r="O36" s="124"/>
      <c r="P36" s="124"/>
      <c r="Q36" s="124"/>
      <c r="R36" s="124"/>
      <c r="S36" s="124"/>
      <c r="T36" s="124"/>
      <c r="U36" s="124"/>
      <c r="V36" s="124"/>
      <c r="W36" s="124"/>
      <c r="X36" s="124">
        <f>H36*(1+inflation)</f>
        <v>0</v>
      </c>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row>
    <row r="37" spans="3:58" ht="16">
      <c r="C37" s="279"/>
      <c r="D37" s="125" t="s">
        <v>40</v>
      </c>
      <c r="E37" s="125"/>
      <c r="F37" s="126"/>
      <c r="G37" s="125" t="s">
        <v>39</v>
      </c>
      <c r="H37" s="125"/>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row>
    <row r="38" spans="3:58" ht="16">
      <c r="C38" s="279"/>
      <c r="D38" s="125" t="s">
        <v>21</v>
      </c>
      <c r="E38" s="125"/>
      <c r="F38" s="126"/>
      <c r="G38" s="125" t="s">
        <v>39</v>
      </c>
      <c r="H38" s="125"/>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row>
    <row r="39" spans="3:58" ht="16">
      <c r="C39" s="279"/>
      <c r="D39" s="125" t="s">
        <v>22</v>
      </c>
      <c r="E39" s="125"/>
      <c r="F39" s="126"/>
      <c r="G39" s="125" t="s">
        <v>39</v>
      </c>
      <c r="H39" s="125"/>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row>
    <row r="40" spans="3:58" ht="16">
      <c r="C40" s="279"/>
      <c r="D40" s="125" t="s">
        <v>64</v>
      </c>
      <c r="E40" s="125"/>
      <c r="F40" s="126"/>
      <c r="G40" s="125" t="s">
        <v>39</v>
      </c>
      <c r="H40" s="125"/>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row>
    <row r="41" spans="3:58" ht="32">
      <c r="C41" s="279"/>
      <c r="D41" s="130" t="s">
        <v>79</v>
      </c>
      <c r="E41" s="130"/>
      <c r="F41" s="131"/>
      <c r="G41" s="130" t="s">
        <v>1</v>
      </c>
      <c r="H41" s="130"/>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row>
    <row r="42" spans="3:58" ht="32">
      <c r="C42" s="279"/>
      <c r="D42" s="125" t="s">
        <v>68</v>
      </c>
      <c r="E42" s="125"/>
      <c r="F42" s="126"/>
      <c r="G42" s="125" t="s">
        <v>1</v>
      </c>
      <c r="H42" s="125"/>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row>
    <row r="43" spans="3:58">
      <c r="C43" s="16"/>
      <c r="D43" s="9"/>
      <c r="E43" s="9"/>
      <c r="F43" s="9"/>
      <c r="G43" s="9"/>
      <c r="H43" s="9"/>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row>
    <row r="44" spans="3:58" s="45" customFormat="1">
      <c r="C44" s="47"/>
      <c r="D44" s="46"/>
      <c r="E44" s="46"/>
      <c r="F44" s="46"/>
      <c r="G44" s="46"/>
      <c r="H44" s="46"/>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row>
    <row r="45" spans="3:58" s="2" customFormat="1">
      <c r="C45" s="16"/>
      <c r="D45" s="9"/>
      <c r="E45" s="9"/>
      <c r="F45" s="9"/>
      <c r="G45" s="9"/>
      <c r="H45" s="9"/>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row>
    <row r="46" spans="3:58">
      <c r="C46" s="16"/>
      <c r="D46" s="9"/>
      <c r="E46" s="9"/>
      <c r="F46" s="9"/>
      <c r="G46" s="9"/>
      <c r="H46" s="9"/>
      <c r="I46" s="9"/>
      <c r="J46" s="9"/>
      <c r="K46" s="5"/>
      <c r="L46" s="5"/>
      <c r="M46" s="5"/>
    </row>
    <row r="47" spans="3:58" s="71" customFormat="1" ht="48">
      <c r="C47" s="129" t="s">
        <v>102</v>
      </c>
      <c r="D47" s="129" t="s">
        <v>7</v>
      </c>
      <c r="E47" s="129" t="str">
        <f t="shared" ref="E47:F47" si="2">E3</f>
        <v>Fin.
AFD, EU, GCF, GVNT</v>
      </c>
      <c r="F47" s="129" t="str">
        <f t="shared" si="2"/>
        <v>Durée de vie (an)</v>
      </c>
      <c r="G47" s="129" t="s">
        <v>33</v>
      </c>
      <c r="H47" s="129" t="str">
        <f>$H$3</f>
        <v xml:space="preserve">Coût unitaire </v>
      </c>
      <c r="I47" s="122">
        <v>2021</v>
      </c>
      <c r="J47" s="122">
        <v>2022</v>
      </c>
      <c r="K47" s="122">
        <v>2023</v>
      </c>
      <c r="L47" s="122">
        <v>2024</v>
      </c>
      <c r="M47" s="122">
        <v>2025</v>
      </c>
      <c r="N47" s="122">
        <v>2026</v>
      </c>
      <c r="O47" s="122">
        <v>2027</v>
      </c>
      <c r="P47" s="122">
        <v>2028</v>
      </c>
      <c r="Q47" s="122">
        <v>2029</v>
      </c>
      <c r="R47" s="122">
        <v>2030</v>
      </c>
      <c r="S47" s="122">
        <v>2031</v>
      </c>
      <c r="T47" s="122">
        <v>2032</v>
      </c>
      <c r="U47" s="122">
        <v>2033</v>
      </c>
      <c r="V47" s="122">
        <v>2034</v>
      </c>
      <c r="W47" s="122">
        <v>2035</v>
      </c>
      <c r="X47" s="122">
        <v>2036</v>
      </c>
      <c r="Y47" s="122">
        <v>2037</v>
      </c>
      <c r="Z47" s="122">
        <v>2038</v>
      </c>
      <c r="AA47" s="122">
        <v>2039</v>
      </c>
      <c r="AB47" s="122">
        <v>2040</v>
      </c>
      <c r="AC47" s="122">
        <v>2041</v>
      </c>
      <c r="AD47" s="122">
        <v>2042</v>
      </c>
      <c r="AE47" s="122">
        <v>2043</v>
      </c>
      <c r="AF47" s="122">
        <v>2044</v>
      </c>
      <c r="AG47" s="122">
        <v>2045</v>
      </c>
      <c r="AH47" s="122">
        <v>2046</v>
      </c>
      <c r="AI47" s="122">
        <v>2047</v>
      </c>
      <c r="AJ47" s="122">
        <v>2048</v>
      </c>
      <c r="AK47" s="122">
        <v>2049</v>
      </c>
      <c r="AL47" s="122">
        <v>2050</v>
      </c>
      <c r="AM47" s="122">
        <v>2051</v>
      </c>
      <c r="AN47" s="122">
        <v>2052</v>
      </c>
      <c r="AO47" s="122">
        <v>2053</v>
      </c>
      <c r="AP47" s="122">
        <v>2054</v>
      </c>
      <c r="AQ47" s="122">
        <v>2055</v>
      </c>
      <c r="AR47" s="122">
        <v>2056</v>
      </c>
      <c r="AS47" s="122">
        <v>2057</v>
      </c>
      <c r="AT47" s="122">
        <v>2058</v>
      </c>
      <c r="AU47" s="122">
        <v>2059</v>
      </c>
      <c r="AV47" s="122">
        <v>2060</v>
      </c>
      <c r="AW47" s="122">
        <v>2061</v>
      </c>
      <c r="AX47" s="122">
        <v>2062</v>
      </c>
      <c r="AY47" s="122">
        <v>2063</v>
      </c>
      <c r="AZ47" s="122">
        <v>2064</v>
      </c>
      <c r="BA47" s="122">
        <v>2065</v>
      </c>
      <c r="BB47" s="122">
        <v>2066</v>
      </c>
      <c r="BC47" s="122">
        <v>2067</v>
      </c>
      <c r="BD47" s="122">
        <v>2068</v>
      </c>
      <c r="BE47" s="122">
        <v>2069</v>
      </c>
      <c r="BF47" s="122">
        <v>2070</v>
      </c>
    </row>
    <row r="48" spans="3:58" ht="16">
      <c r="C48" s="279" t="s">
        <v>48</v>
      </c>
      <c r="D48" s="125" t="s">
        <v>53</v>
      </c>
      <c r="E48" s="125"/>
      <c r="F48" s="126"/>
      <c r="G48" s="125" t="s">
        <v>39</v>
      </c>
      <c r="H48" s="125"/>
      <c r="I48" s="124"/>
      <c r="J48" s="124"/>
      <c r="K48" s="124"/>
      <c r="L48" s="124"/>
      <c r="M48" s="124"/>
      <c r="N48" s="124"/>
      <c r="O48" s="124"/>
      <c r="P48" s="124"/>
      <c r="Q48" s="124"/>
      <c r="R48" s="124"/>
      <c r="S48" s="124"/>
      <c r="T48" s="124"/>
      <c r="U48" s="124"/>
      <c r="V48" s="124"/>
      <c r="W48" s="124"/>
      <c r="X48" s="124">
        <f>H48*(1+inflation)</f>
        <v>0</v>
      </c>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row>
    <row r="49" spans="3:58" ht="16">
      <c r="C49" s="279"/>
      <c r="D49" s="130" t="s">
        <v>50</v>
      </c>
      <c r="E49" s="130"/>
      <c r="F49" s="131"/>
      <c r="G49" s="130" t="s">
        <v>34</v>
      </c>
      <c r="H49" s="130"/>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row>
    <row r="50" spans="3:58" ht="16">
      <c r="C50" s="279"/>
      <c r="D50" s="130" t="s">
        <v>51</v>
      </c>
      <c r="E50" s="130"/>
      <c r="F50" s="131"/>
      <c r="G50" s="130" t="s">
        <v>34</v>
      </c>
      <c r="H50" s="130"/>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row>
    <row r="51" spans="3:58" ht="16">
      <c r="C51" s="279"/>
      <c r="D51" s="130" t="s">
        <v>52</v>
      </c>
      <c r="E51" s="130"/>
      <c r="F51" s="131"/>
      <c r="G51" s="130" t="s">
        <v>34</v>
      </c>
      <c r="H51" s="130"/>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row>
    <row r="52" spans="3:58" ht="48">
      <c r="C52" s="279"/>
      <c r="D52" s="130" t="s">
        <v>80</v>
      </c>
      <c r="E52" s="130"/>
      <c r="F52" s="131"/>
      <c r="G52" s="130" t="s">
        <v>39</v>
      </c>
      <c r="H52" s="130"/>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row>
    <row r="53" spans="3:58" ht="32">
      <c r="C53" s="279"/>
      <c r="D53" s="130" t="s">
        <v>54</v>
      </c>
      <c r="E53" s="130"/>
      <c r="F53" s="131"/>
      <c r="G53" s="130" t="s">
        <v>39</v>
      </c>
      <c r="H53" s="130"/>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row>
    <row r="54" spans="3:58" ht="64">
      <c r="C54" s="279"/>
      <c r="D54" s="125" t="s">
        <v>55</v>
      </c>
      <c r="E54" s="125"/>
      <c r="F54" s="126"/>
      <c r="G54" s="125" t="s">
        <v>39</v>
      </c>
      <c r="H54" s="125"/>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row>
    <row r="55" spans="3:58" s="2" customFormat="1">
      <c r="C55" s="16"/>
      <c r="D55" s="9"/>
      <c r="E55" s="9"/>
      <c r="F55" s="9"/>
      <c r="G55" s="9"/>
      <c r="H55" s="9"/>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132"/>
      <c r="BE55" s="132"/>
      <c r="BF55" s="132"/>
    </row>
    <row r="56" spans="3:58" s="46" customFormat="1">
      <c r="C56" s="47"/>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BD56" s="132"/>
      <c r="BE56" s="132"/>
      <c r="BF56" s="132"/>
    </row>
    <row r="57" spans="3:58" s="2" customFormat="1">
      <c r="C57" s="16"/>
      <c r="D57" s="9"/>
      <c r="E57" s="9"/>
      <c r="F57" s="9"/>
      <c r="G57" s="9"/>
      <c r="H57" s="9"/>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row>
    <row r="58" spans="3:58">
      <c r="C58" s="16"/>
      <c r="D58" s="9"/>
      <c r="E58" s="9"/>
      <c r="F58" s="9"/>
      <c r="G58" s="9"/>
      <c r="H58" s="9"/>
      <c r="I58" s="9"/>
      <c r="J58" s="9"/>
      <c r="K58" s="5"/>
      <c r="L58" s="5"/>
      <c r="M58" s="5"/>
    </row>
    <row r="59" spans="3:58" s="71" customFormat="1" ht="48">
      <c r="C59" s="129" t="s">
        <v>103</v>
      </c>
      <c r="D59" s="129" t="s">
        <v>7</v>
      </c>
      <c r="E59" s="129" t="str">
        <f t="shared" ref="E59:F59" si="3">E3</f>
        <v>Fin.
AFD, EU, GCF, GVNT</v>
      </c>
      <c r="F59" s="129" t="str">
        <f t="shared" si="3"/>
        <v>Durée de vie (an)</v>
      </c>
      <c r="G59" s="129" t="s">
        <v>33</v>
      </c>
      <c r="H59" s="129" t="str">
        <f>$H$3</f>
        <v xml:space="preserve">Coût unitaire </v>
      </c>
      <c r="I59" s="122">
        <v>2021</v>
      </c>
      <c r="J59" s="122">
        <v>2022</v>
      </c>
      <c r="K59" s="122">
        <v>2023</v>
      </c>
      <c r="L59" s="122">
        <v>2024</v>
      </c>
      <c r="M59" s="122">
        <v>2025</v>
      </c>
      <c r="N59" s="122">
        <v>2026</v>
      </c>
      <c r="O59" s="122">
        <v>2027</v>
      </c>
      <c r="P59" s="122">
        <v>2028</v>
      </c>
      <c r="Q59" s="122">
        <v>2029</v>
      </c>
      <c r="R59" s="122">
        <v>2030</v>
      </c>
      <c r="S59" s="122">
        <v>2031</v>
      </c>
      <c r="T59" s="122">
        <v>2032</v>
      </c>
      <c r="U59" s="122">
        <v>2033</v>
      </c>
      <c r="V59" s="122">
        <v>2034</v>
      </c>
      <c r="W59" s="122">
        <v>2035</v>
      </c>
      <c r="X59" s="122">
        <v>2036</v>
      </c>
      <c r="Y59" s="122">
        <v>2037</v>
      </c>
      <c r="Z59" s="122">
        <v>2038</v>
      </c>
      <c r="AA59" s="122">
        <v>2039</v>
      </c>
      <c r="AB59" s="122">
        <v>2040</v>
      </c>
      <c r="AC59" s="122">
        <v>2041</v>
      </c>
      <c r="AD59" s="122">
        <v>2042</v>
      </c>
      <c r="AE59" s="122">
        <v>2043</v>
      </c>
      <c r="AF59" s="122">
        <v>2044</v>
      </c>
      <c r="AG59" s="122">
        <v>2045</v>
      </c>
      <c r="AH59" s="122">
        <v>2046</v>
      </c>
      <c r="AI59" s="122">
        <v>2047</v>
      </c>
      <c r="AJ59" s="122">
        <v>2048</v>
      </c>
      <c r="AK59" s="122">
        <v>2049</v>
      </c>
      <c r="AL59" s="122">
        <v>2050</v>
      </c>
      <c r="AM59" s="122">
        <v>2051</v>
      </c>
      <c r="AN59" s="122">
        <v>2052</v>
      </c>
      <c r="AO59" s="122">
        <v>2053</v>
      </c>
      <c r="AP59" s="122">
        <v>2054</v>
      </c>
      <c r="AQ59" s="122">
        <v>2055</v>
      </c>
      <c r="AR59" s="122">
        <v>2056</v>
      </c>
      <c r="AS59" s="122">
        <v>2057</v>
      </c>
      <c r="AT59" s="122">
        <v>2058</v>
      </c>
      <c r="AU59" s="122">
        <v>2059</v>
      </c>
      <c r="AV59" s="122">
        <v>2060</v>
      </c>
      <c r="AW59" s="122">
        <v>2061</v>
      </c>
      <c r="AX59" s="122">
        <v>2062</v>
      </c>
      <c r="AY59" s="122">
        <v>2063</v>
      </c>
      <c r="AZ59" s="122">
        <v>2064</v>
      </c>
      <c r="BA59" s="122">
        <v>2065</v>
      </c>
      <c r="BB59" s="122">
        <v>2066</v>
      </c>
      <c r="BC59" s="122">
        <v>2067</v>
      </c>
      <c r="BD59" s="122">
        <v>2068</v>
      </c>
      <c r="BE59" s="122">
        <v>2069</v>
      </c>
      <c r="BF59" s="122">
        <v>2070</v>
      </c>
    </row>
    <row r="60" spans="3:58" ht="16">
      <c r="C60" s="279" t="s">
        <v>49</v>
      </c>
      <c r="D60" s="125" t="s">
        <v>69</v>
      </c>
      <c r="E60" s="125"/>
      <c r="F60" s="126"/>
      <c r="G60" s="125" t="s">
        <v>65</v>
      </c>
      <c r="H60" s="125"/>
      <c r="I60" s="124"/>
      <c r="J60" s="124"/>
      <c r="K60" s="124"/>
      <c r="L60" s="124"/>
      <c r="M60" s="124"/>
      <c r="N60" s="124"/>
      <c r="O60" s="124"/>
      <c r="P60" s="124"/>
      <c r="Q60" s="124"/>
      <c r="R60" s="124"/>
      <c r="S60" s="124"/>
      <c r="T60" s="124"/>
      <c r="U60" s="124"/>
      <c r="V60" s="124"/>
      <c r="W60" s="124"/>
      <c r="X60" s="124">
        <f>H60*(1+inflation)</f>
        <v>0</v>
      </c>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row>
    <row r="61" spans="3:58" ht="32">
      <c r="C61" s="279"/>
      <c r="D61" s="130" t="s">
        <v>66</v>
      </c>
      <c r="E61" s="130"/>
      <c r="F61" s="131"/>
      <c r="G61" s="130" t="s">
        <v>65</v>
      </c>
      <c r="H61" s="130"/>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row>
    <row r="62" spans="3:58" ht="16">
      <c r="C62" s="279"/>
      <c r="D62" s="130" t="s">
        <v>16</v>
      </c>
      <c r="E62" s="130"/>
      <c r="F62" s="131"/>
      <c r="G62" s="130" t="s">
        <v>39</v>
      </c>
      <c r="H62" s="130"/>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row>
    <row r="63" spans="3:58" ht="16">
      <c r="C63" s="279"/>
      <c r="D63" s="130" t="s">
        <v>26</v>
      </c>
      <c r="E63" s="130"/>
      <c r="F63" s="131"/>
      <c r="G63" s="130" t="s">
        <v>39</v>
      </c>
      <c r="H63" s="130"/>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AZ63" s="124"/>
      <c r="BA63" s="124"/>
      <c r="BB63" s="124"/>
      <c r="BC63" s="124"/>
      <c r="BD63" s="124"/>
      <c r="BE63" s="124"/>
      <c r="BF63" s="124"/>
    </row>
    <row r="64" spans="3:58" ht="16">
      <c r="C64" s="279"/>
      <c r="D64" s="125" t="s">
        <v>27</v>
      </c>
      <c r="E64" s="125"/>
      <c r="F64" s="126"/>
      <c r="G64" s="125" t="s">
        <v>39</v>
      </c>
      <c r="H64" s="125"/>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4"/>
      <c r="BC64" s="124"/>
      <c r="BD64" s="124"/>
      <c r="BE64" s="124"/>
      <c r="BF64" s="124"/>
    </row>
  </sheetData>
  <mergeCells count="5">
    <mergeCell ref="C4:C13"/>
    <mergeCell ref="C19:C30"/>
    <mergeCell ref="C36:C42"/>
    <mergeCell ref="C48:C54"/>
    <mergeCell ref="C60:C6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Calcul Eco </vt:lpstr>
      <vt:lpstr>Résumé FS2</vt:lpstr>
      <vt:lpstr>PMC</vt:lpstr>
      <vt:lpstr>COM Act</vt:lpstr>
      <vt:lpstr>MAD Act</vt:lpstr>
      <vt:lpstr>SEY Act</vt:lpstr>
      <vt:lpstr>MAU Act</vt:lpstr>
      <vt:lpstr>REGIONAL</vt:lpstr>
      <vt:lpstr>Renouv COM</vt:lpstr>
      <vt:lpstr>actualisation</vt:lpstr>
      <vt:lpstr>inflation</vt:lpstr>
      <vt:lpstr>'COM Act'!Print_Area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2019-12-06T12:21:45Z</dcterms:modified>
</cp:coreProperties>
</file>